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servcali06\LicityProy\GUATEMALA\RALED II PLUS VIA TIPO M3\Informe Vída Útil LM80 y TM21\"/>
    </mc:Choice>
  </mc:AlternateContent>
  <xr:revisionPtr revIDLastSave="0" documentId="13_ncr:1_{22A64399-BE64-41D4-80A9-BFA15909C0EA}" xr6:coauthVersionLast="47" xr6:coauthVersionMax="47"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20370" yWindow="-120" windowWidth="15600" windowHeight="11160" tabRatio="883" activeTab="4"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definedNames>
    <definedName name="_xlnm.Print_Area" localSheetId="2">'Product Inputs'!$A$1:$M$19</definedName>
    <definedName name="_xlnm.Print_Area" localSheetId="0">'rev. 02.08.16'!$A$1:$C$4</definedName>
    <definedName name="_xlnm.Print_Area" localSheetId="1">'TM-21 Inputs'!$B$1:$T$45</definedName>
    <definedName name="_xlnm.Print_Area" localSheetId="3">'TM-21 Projection'!$J$1:$M$16</definedName>
    <definedName name="_xlnm.Print_Area" localSheetId="4">'TM-21 Report'!$B$1:$O$32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 l="1"/>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D22" i="7"/>
  <c r="D24" i="7"/>
  <c r="D11" i="5"/>
  <c r="H42" i="2"/>
  <c r="C21" i="6" l="1"/>
  <c r="C20" i="7"/>
  <c r="C19" i="6"/>
  <c r="C8" i="7"/>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H6" i="5"/>
  <c r="I26" i="5"/>
  <c r="G26" i="5" l="1"/>
  <c r="H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I9" i="8"/>
  <c r="J12" i="6"/>
  <c r="I10" i="8"/>
  <c r="F13" i="6"/>
  <c r="G13" i="6" s="1"/>
  <c r="J13" i="6" s="1"/>
  <c r="I13" i="6"/>
  <c r="F33" i="5" l="1"/>
  <c r="F34" i="5" s="1"/>
  <c r="G11" i="3" s="1"/>
  <c r="D22" i="13" s="1"/>
  <c r="C9" i="8"/>
  <c r="F34" i="7"/>
  <c r="M11" i="3" s="1"/>
  <c r="J22" i="13" s="1"/>
  <c r="M10" i="3"/>
  <c r="I11" i="8"/>
  <c r="H13" i="6"/>
  <c r="F14" i="6"/>
  <c r="G14" i="6" s="1"/>
  <c r="H14" i="6" s="1"/>
  <c r="I14" i="6"/>
  <c r="G10" i="3" l="1"/>
  <c r="C11" i="8"/>
  <c r="C12" i="8"/>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<sst xmlns="http://schemas.openxmlformats.org/spreadsheetml/2006/main" count="169" uniqueCount="103">
  <si>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</si>
  <si>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</si>
  <si>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</si>
  <si>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</si>
  <si>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</si>
  <si>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</si>
  <si>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</si>
  <si>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</si>
  <si>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</si>
  <si>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</si>
  <si>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</si>
  <si>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</si>
  <si>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</si>
  <si>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</si>
  <si>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</si>
  <si>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</si>
  <si>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</si>
  <si>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</si>
  <si>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</si>
  <si>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</si>
  <si>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</si>
  <si>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</si>
  <si>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</si>
  <si>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</si>
  <si>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</si>
  <si>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</si>
  <si>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</si>
  <si>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</si>
  <si>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</si>
  <si>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</si>
  <si>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</si>
  <si>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</si>
  <si>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</si>
  <si>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</si>
  <si>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</si>
  <si>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</si>
  <si>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</si>
  <si>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</si>
  <si>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</si>
  <si>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</si>
  <si>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</si>
  <si>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</si>
  <si>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</si>
  <si>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</si>
  <si>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</si>
  <si>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</si>
  <si>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</si>
  <si>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</si>
  <si>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</si>
  <si>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</si>
  <si>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</si>
  <si>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</si>
  <si>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</si>
  <si>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</si>
  <si>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</si>
  <si>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</si>
  <si>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</si>
  <si>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</si>
  <si>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</si>
  <si>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</si>
  <si>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</si>
  <si>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</si>
  <si>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</si>
  <si>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</si>
  <si>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</si>
  <si>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</si>
  <si>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</si>
  <si>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</si>
  <si>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</si>
  <si>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</si>
  <si>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</si>
  <si>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</si>
  <si>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</si>
  <si>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</si>
  <si>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</si>
  <si>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</si>
  <si>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</si>
  <si>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</si>
  <si>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</si>
  <si>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</si>
  <si>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</si>
  <si>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</si>
  <si>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</si>
  <si>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</si>
  <si>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</si>
  <si>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</si>
  <si>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</si>
  <si>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</si>
  <si>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</si>
  <si>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</si>
  <si>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</si>
  <si>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</si>
  <si>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</si>
  <si>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</si>
  <si>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</si>
  <si>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</si>
  <si>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</si>
  <si>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</si>
  <si>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Report Generated By:  Diego Armando Palacios</t>
  </si>
  <si>
    <t>Company: Roy Alpha</t>
  </si>
  <si>
    <t>Date:2026/06/23</t>
  </si>
  <si>
    <t>RALED II PLUS 48 LED 145W (Se evalua en ta de 25°C)                                                                          UHE Y DA-UHE LM-80-15 OSCONIQ S 5050 GTG REPORT ANSI/IES LM-80-20 800mA 17000H Test Report.N01A240811172L00101, COD. LAB: 26-0340, Corriente Driver:949.6mA, Cada Modulo:949.6mA, Corriente LED:474.8mA</t>
  </si>
  <si>
    <t xml:space="preserve">Notes: Lumen maintenance is above 80% @100000 prediction (=90.81%)
B10 de acuerdo con la ficha técnica del módulo Fortimo Fast Flex 2x8 
DA-UHE (adjunta).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</si>
</sst>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12" fillId="2" borderId="7" xfId="0" applyFont="1" applyFill="1" applyBorder="1" applyAlignment="1" applyProtection="1">
      <alignment horizontal="left" vertical="top" wrapText="1"/>
      <protection locked="0"/>
    </xf>
  </cellXfs>
  <cellStyles count="3">
    <cellStyle name="Millares" xfId="2" builtinId="3"/>
    <cellStyle name="Normal" xfId="0" builtinId="0"/>
    <cellStyle name="Porcentaje"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zoomScale="90" zoomScaleNormal="90" workbookViewId="0">
      <selection activeCell="C4" sqref="A1:C4"/>
    </sheetView>
  </sheetViews>
  <sheetFormatPr baseColWidth="10" defaultColWidth="9.140625" defaultRowHeight="14.25" x14ac:dyDescent="0.2"/>
  <cols>
    <col min="1" max="1" width="2.5703125" style="73" customWidth="1"/>
    <col min="2" max="2" width="92.85546875" style="73" customWidth="1"/>
    <col min="3" max="16384" width="9.140625" style="73"/>
  </cols>
  <sheetData>
    <row r="1" spans="2:2" ht="9" customHeight="1" thickBot="1" x14ac:dyDescent="0.25"/>
    <row r="2" spans="2:2" ht="89.25" customHeight="1" thickTop="1" x14ac:dyDescent="0.35">
      <c r="B2" s="118" t="s">
        <v>53</v>
      </c>
    </row>
    <row r="3" spans="2:2" ht="294" thickBot="1" x14ac:dyDescent="0.25">
      <c r="B3" s="119" t="s">
        <v>97</v>
      </c>
    </row>
    <row r="4" spans="2:2" ht="15" thickTop="1" x14ac:dyDescent="0.2">
      <c r="B4" s="117"/>
    </row>
  </sheetData>
  <sheetProtection algorithmName="SHA-512" hashValue="o8VfU8RKwnJAOw/2k5svEGv4nna3Wak1CsKUcthWFC9NsXSkkrv8IwmoDcLqZroIj8IxZNcXZls20MzUWsJJnQ==" saltValue="OMOG5iMn21IDREIMIIKTFQ==" spinCount="100000" sheet="1" objects="1" scenarios="1"/>
  <pageMargins left="1.2649999999999999"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zoomScale="70" zoomScaleNormal="70" workbookViewId="0">
      <selection activeCell="H9" sqref="H9:I12"/>
    </sheetView>
  </sheetViews>
  <sheetFormatPr baseColWidth="10" defaultColWidth="9.140625" defaultRowHeight="14.25" x14ac:dyDescent="0.2"/>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x14ac:dyDescent="0.2">
      <c r="A1" s="110"/>
      <c r="B1" s="110"/>
      <c r="C1" s="110"/>
      <c r="D1" s="110"/>
      <c r="E1" s="110"/>
      <c r="F1" s="110"/>
      <c r="G1" s="110"/>
      <c r="H1" s="110"/>
      <c r="I1" s="110"/>
      <c r="J1" s="110"/>
      <c r="K1" s="162"/>
      <c r="L1" s="162"/>
      <c r="M1" s="162"/>
      <c r="N1" s="162"/>
      <c r="O1" s="162"/>
      <c r="P1" s="162"/>
      <c r="Q1" s="162"/>
      <c r="R1" s="162"/>
      <c r="S1" s="110"/>
      <c r="T1" s="110"/>
    </row>
    <row r="2" spans="1:33" ht="14.25" customHeight="1" x14ac:dyDescent="0.2">
      <c r="A2" s="110"/>
      <c r="B2" s="216" t="s">
        <v>80</v>
      </c>
      <c r="C2" s="217"/>
      <c r="D2" s="217"/>
      <c r="E2" s="217"/>
      <c r="F2" s="217"/>
      <c r="G2" s="217"/>
      <c r="H2" s="217"/>
      <c r="I2" s="217"/>
      <c r="J2" s="217"/>
      <c r="K2" s="217"/>
      <c r="L2" s="217"/>
      <c r="M2" s="217"/>
      <c r="N2" s="217"/>
      <c r="O2" s="217"/>
      <c r="P2" s="217"/>
      <c r="Q2" s="217"/>
      <c r="R2" s="217"/>
      <c r="S2" s="217"/>
      <c r="T2" s="110"/>
    </row>
    <row r="3" spans="1:33" ht="14.25" customHeight="1" x14ac:dyDescent="0.2">
      <c r="A3" s="110"/>
      <c r="B3" s="217"/>
      <c r="C3" s="217"/>
      <c r="D3" s="217"/>
      <c r="E3" s="217"/>
      <c r="F3" s="217"/>
      <c r="G3" s="217"/>
      <c r="H3" s="217"/>
      <c r="I3" s="217"/>
      <c r="J3" s="217"/>
      <c r="K3" s="217"/>
      <c r="L3" s="217"/>
      <c r="M3" s="217"/>
      <c r="N3" s="217"/>
      <c r="O3" s="217"/>
      <c r="P3" s="217"/>
      <c r="Q3" s="217"/>
      <c r="R3" s="217"/>
      <c r="S3" s="217"/>
      <c r="T3" s="110"/>
    </row>
    <row r="4" spans="1:33" ht="14.25" customHeight="1" x14ac:dyDescent="0.2">
      <c r="A4" s="110"/>
      <c r="B4" s="217"/>
      <c r="C4" s="217"/>
      <c r="D4" s="217"/>
      <c r="E4" s="217"/>
      <c r="F4" s="217"/>
      <c r="G4" s="217"/>
      <c r="H4" s="217"/>
      <c r="I4" s="217"/>
      <c r="J4" s="217"/>
      <c r="K4" s="217"/>
      <c r="L4" s="217"/>
      <c r="M4" s="217"/>
      <c r="N4" s="217"/>
      <c r="O4" s="217"/>
      <c r="P4" s="217"/>
      <c r="Q4" s="217"/>
      <c r="R4" s="217"/>
      <c r="S4" s="217"/>
      <c r="T4" s="110"/>
    </row>
    <row r="5" spans="1:33" ht="24.75" customHeight="1" x14ac:dyDescent="0.2">
      <c r="A5" s="110"/>
      <c r="B5" s="217"/>
      <c r="C5" s="217"/>
      <c r="D5" s="217"/>
      <c r="E5" s="217"/>
      <c r="F5" s="217"/>
      <c r="G5" s="217"/>
      <c r="H5" s="217"/>
      <c r="I5" s="217"/>
      <c r="J5" s="217"/>
      <c r="K5" s="217"/>
      <c r="L5" s="217"/>
      <c r="M5" s="217"/>
      <c r="N5" s="217"/>
      <c r="O5" s="217"/>
      <c r="P5" s="217"/>
      <c r="Q5" s="217"/>
      <c r="R5" s="217"/>
      <c r="S5" s="217"/>
      <c r="T5" s="110"/>
    </row>
    <row r="6" spans="1:33" ht="9" customHeight="1" x14ac:dyDescent="0.25">
      <c r="A6" s="110"/>
      <c r="B6" s="163"/>
      <c r="C6" s="163"/>
      <c r="D6" s="163"/>
      <c r="E6" s="163"/>
      <c r="F6" s="163"/>
      <c r="G6" s="163"/>
      <c r="H6" s="163"/>
      <c r="I6" s="163"/>
      <c r="J6" s="163"/>
      <c r="K6" s="164"/>
      <c r="L6" s="164"/>
      <c r="M6" s="164"/>
      <c r="N6" s="165"/>
      <c r="O6" s="164"/>
      <c r="P6" s="164"/>
      <c r="Q6" s="164"/>
      <c r="R6" s="164"/>
      <c r="S6" s="110"/>
      <c r="T6" s="110"/>
    </row>
    <row r="7" spans="1:33" ht="34.5" customHeight="1" thickBot="1" x14ac:dyDescent="0.45">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x14ac:dyDescent="0.35">
      <c r="A8" s="170"/>
      <c r="B8" s="171"/>
      <c r="C8" s="212" t="s">
        <v>56</v>
      </c>
      <c r="D8" s="213"/>
      <c r="E8" s="172"/>
      <c r="F8" s="173"/>
      <c r="G8" s="171"/>
      <c r="H8" s="224" t="s">
        <v>55</v>
      </c>
      <c r="I8" s="235"/>
      <c r="J8" s="171"/>
      <c r="K8" s="224" t="str">
        <f>IF(I21="","Tested Case Temperature 1",CONCATENATE("Test Data for ",I21,"⁰C Case Temperature"))</f>
        <v>Test Data for 55⁰C Case Temperature</v>
      </c>
      <c r="L8" s="225"/>
      <c r="M8" s="171"/>
      <c r="N8" s="224" t="str">
        <f>IF(I22="","Tested Case Temperature 2",CONCATENATE("Test Data for ",I22,"⁰C Case Temperature"))</f>
        <v>Test Data for 85⁰C Case Temperature</v>
      </c>
      <c r="O8" s="225"/>
      <c r="P8" s="171"/>
      <c r="Q8" s="224" t="str">
        <f>IF(I23="","Tested Case Temperature 3",CONCATENATE("Test Data for ",I23,"⁰C Case Temperature"))</f>
        <v>Test Data for 105⁰C Case Temperature</v>
      </c>
      <c r="R8" s="225"/>
      <c r="T8" s="170"/>
    </row>
    <row r="9" spans="1:33" ht="48" customHeight="1" thickBot="1" x14ac:dyDescent="0.3">
      <c r="A9" s="110"/>
      <c r="B9" s="175"/>
      <c r="C9" s="226" t="s">
        <v>94</v>
      </c>
      <c r="D9" s="227"/>
      <c r="E9" s="176"/>
      <c r="F9" s="109"/>
      <c r="G9" s="175"/>
      <c r="H9" s="218" t="s">
        <v>101</v>
      </c>
      <c r="I9" s="219"/>
      <c r="J9" s="175"/>
      <c r="K9" s="177" t="s">
        <v>82</v>
      </c>
      <c r="L9" s="177" t="s">
        <v>54</v>
      </c>
      <c r="M9" s="178"/>
      <c r="N9" s="177" t="s">
        <v>82</v>
      </c>
      <c r="O9" s="177" t="s">
        <v>54</v>
      </c>
      <c r="P9" s="178"/>
      <c r="Q9" s="177" t="s">
        <v>82</v>
      </c>
      <c r="R9" s="177" t="s">
        <v>54</v>
      </c>
      <c r="T9" s="110"/>
      <c r="AG9" s="179"/>
    </row>
    <row r="10" spans="1:33" ht="15" customHeight="1" x14ac:dyDescent="0.25">
      <c r="A10" s="110"/>
      <c r="B10" s="175"/>
      <c r="C10" s="228"/>
      <c r="D10" s="229"/>
      <c r="E10" s="176"/>
      <c r="F10" s="109"/>
      <c r="G10" s="175"/>
      <c r="H10" s="220"/>
      <c r="I10" s="221"/>
      <c r="J10" s="175"/>
      <c r="K10" s="75">
        <v>1000</v>
      </c>
      <c r="L10" s="120">
        <v>1.0016</v>
      </c>
      <c r="M10" s="171"/>
      <c r="N10" s="75">
        <v>1000</v>
      </c>
      <c r="O10" s="121">
        <v>1.0006999999999999</v>
      </c>
      <c r="P10" s="171"/>
      <c r="Q10" s="75">
        <v>1000</v>
      </c>
      <c r="R10" s="121">
        <v>0.99909999999999999</v>
      </c>
      <c r="T10" s="110"/>
      <c r="AG10" s="179"/>
    </row>
    <row r="11" spans="1:33" ht="18" customHeight="1" x14ac:dyDescent="0.25">
      <c r="A11" s="110"/>
      <c r="B11" s="175"/>
      <c r="C11" s="228"/>
      <c r="D11" s="229"/>
      <c r="E11" s="176"/>
      <c r="F11" s="109"/>
      <c r="G11" s="175"/>
      <c r="H11" s="220"/>
      <c r="I11" s="221"/>
      <c r="J11" s="175"/>
      <c r="K11" s="76">
        <v>2000</v>
      </c>
      <c r="L11" s="122">
        <v>1.0001</v>
      </c>
      <c r="M11" s="171"/>
      <c r="N11" s="76">
        <v>2000</v>
      </c>
      <c r="O11" s="122">
        <v>0.99919999999999998</v>
      </c>
      <c r="P11" s="171"/>
      <c r="Q11" s="76">
        <v>2000</v>
      </c>
      <c r="R11" s="123">
        <v>0.99719999999999998</v>
      </c>
      <c r="T11" s="110"/>
      <c r="AG11" s="179"/>
    </row>
    <row r="12" spans="1:33" ht="18.75" customHeight="1" thickBot="1" x14ac:dyDescent="0.3">
      <c r="A12" s="110"/>
      <c r="B12" s="175"/>
      <c r="C12" s="228"/>
      <c r="D12" s="229"/>
      <c r="E12" s="176"/>
      <c r="F12" s="109"/>
      <c r="G12" s="175"/>
      <c r="H12" s="222"/>
      <c r="I12" s="223"/>
      <c r="J12" s="175"/>
      <c r="K12" s="76">
        <v>3000</v>
      </c>
      <c r="L12" s="122">
        <v>0.99870000000000003</v>
      </c>
      <c r="M12" s="171"/>
      <c r="N12" s="76">
        <v>3000</v>
      </c>
      <c r="O12" s="122">
        <v>0.99719999999999998</v>
      </c>
      <c r="P12" s="171"/>
      <c r="Q12" s="76">
        <v>3000</v>
      </c>
      <c r="R12" s="123">
        <v>0.99519999999999997</v>
      </c>
      <c r="T12" s="110"/>
      <c r="AG12" s="179"/>
    </row>
    <row r="13" spans="1:33" ht="18" customHeight="1" x14ac:dyDescent="0.25">
      <c r="A13" s="110"/>
      <c r="B13" s="175"/>
      <c r="C13" s="228"/>
      <c r="D13" s="229"/>
      <c r="E13" s="176"/>
      <c r="F13" s="109"/>
      <c r="G13" s="175"/>
      <c r="H13" s="175"/>
      <c r="I13" s="175"/>
      <c r="J13" s="175"/>
      <c r="K13" s="76">
        <v>4000</v>
      </c>
      <c r="L13" s="122">
        <v>0.99690000000000001</v>
      </c>
      <c r="M13" s="171"/>
      <c r="N13" s="76">
        <v>4000</v>
      </c>
      <c r="O13" s="122">
        <v>0.99519999999999997</v>
      </c>
      <c r="P13" s="171"/>
      <c r="Q13" s="76">
        <v>4000</v>
      </c>
      <c r="R13" s="123">
        <v>0.99309999999999998</v>
      </c>
      <c r="T13" s="110"/>
      <c r="AG13" s="179"/>
    </row>
    <row r="14" spans="1:33" ht="18.75" customHeight="1" thickBot="1" x14ac:dyDescent="0.3">
      <c r="A14" s="110"/>
      <c r="B14" s="175"/>
      <c r="C14" s="228"/>
      <c r="D14" s="229"/>
      <c r="E14" s="176"/>
      <c r="F14" s="109"/>
      <c r="G14" s="175"/>
      <c r="H14" s="175"/>
      <c r="I14" s="175"/>
      <c r="J14" s="175"/>
      <c r="K14" s="76">
        <v>5000</v>
      </c>
      <c r="L14" s="122">
        <v>0.995</v>
      </c>
      <c r="M14" s="171"/>
      <c r="N14" s="76">
        <v>5000</v>
      </c>
      <c r="O14" s="122">
        <v>0.99319999999999997</v>
      </c>
      <c r="P14" s="171"/>
      <c r="Q14" s="76">
        <v>5000</v>
      </c>
      <c r="R14" s="123">
        <v>0.9909</v>
      </c>
      <c r="T14" s="110"/>
      <c r="AG14" s="179"/>
    </row>
    <row r="15" spans="1:33" ht="18.75" customHeight="1" thickBot="1" x14ac:dyDescent="0.3">
      <c r="A15" s="110"/>
      <c r="B15" s="175"/>
      <c r="C15" s="228"/>
      <c r="D15" s="229"/>
      <c r="E15" s="176"/>
      <c r="F15" s="109"/>
      <c r="G15" s="175"/>
      <c r="H15" s="212" t="s">
        <v>47</v>
      </c>
      <c r="I15" s="238"/>
      <c r="J15" s="175"/>
      <c r="K15" s="76">
        <v>6000</v>
      </c>
      <c r="L15" s="122">
        <v>0.99319999999999997</v>
      </c>
      <c r="M15" s="171"/>
      <c r="N15" s="76">
        <v>6000</v>
      </c>
      <c r="O15" s="122">
        <v>0.99129999999999996</v>
      </c>
      <c r="P15" s="171"/>
      <c r="Q15" s="76">
        <v>6000</v>
      </c>
      <c r="R15" s="123">
        <v>0.98870000000000002</v>
      </c>
      <c r="T15" s="110"/>
      <c r="AG15" s="179"/>
    </row>
    <row r="16" spans="1:33" ht="19.5" customHeight="1" x14ac:dyDescent="0.25">
      <c r="A16" s="110"/>
      <c r="B16" s="175"/>
      <c r="C16" s="228"/>
      <c r="D16" s="229"/>
      <c r="E16" s="176"/>
      <c r="F16" s="109"/>
      <c r="G16" s="175"/>
      <c r="H16" s="180" t="s">
        <v>86</v>
      </c>
      <c r="I16" s="75">
        <v>25</v>
      </c>
      <c r="J16" s="175"/>
      <c r="K16" s="76">
        <v>7000</v>
      </c>
      <c r="L16" s="122">
        <v>0.99199999999999999</v>
      </c>
      <c r="M16" s="171"/>
      <c r="N16" s="76">
        <v>7000</v>
      </c>
      <c r="O16" s="122">
        <v>0.98980000000000001</v>
      </c>
      <c r="P16" s="171"/>
      <c r="Q16" s="76">
        <v>7000</v>
      </c>
      <c r="R16" s="123">
        <v>0.98680000000000001</v>
      </c>
      <c r="T16" s="110"/>
      <c r="AG16" s="179"/>
    </row>
    <row r="17" spans="1:33" ht="19.5" customHeight="1" x14ac:dyDescent="0.25">
      <c r="A17" s="110"/>
      <c r="B17" s="175"/>
      <c r="C17" s="228"/>
      <c r="D17" s="229"/>
      <c r="E17" s="176"/>
      <c r="F17" s="109"/>
      <c r="G17" s="175"/>
      <c r="H17" s="181" t="s">
        <v>48</v>
      </c>
      <c r="I17" s="76">
        <v>0</v>
      </c>
      <c r="J17" s="175"/>
      <c r="K17" s="76">
        <v>8000</v>
      </c>
      <c r="L17" s="122">
        <v>0.99060000000000004</v>
      </c>
      <c r="M17" s="171"/>
      <c r="N17" s="76">
        <v>8000</v>
      </c>
      <c r="O17" s="122">
        <v>0.98839999999999995</v>
      </c>
      <c r="P17" s="171"/>
      <c r="Q17" s="76">
        <v>8000</v>
      </c>
      <c r="R17" s="123">
        <v>0.9849</v>
      </c>
      <c r="T17" s="110"/>
      <c r="AG17" s="179"/>
    </row>
    <row r="18" spans="1:33" ht="19.5" customHeight="1" x14ac:dyDescent="0.25">
      <c r="A18" s="110"/>
      <c r="B18" s="175"/>
      <c r="C18" s="228"/>
      <c r="D18" s="229"/>
      <c r="E18" s="176"/>
      <c r="F18" s="109"/>
      <c r="G18" s="175"/>
      <c r="H18" s="181" t="s">
        <v>84</v>
      </c>
      <c r="I18" s="161">
        <f>IF(I16="","",I16-I17)</f>
        <v>25</v>
      </c>
      <c r="J18" s="175"/>
      <c r="K18" s="76">
        <v>9000</v>
      </c>
      <c r="L18" s="122">
        <v>0.98939999999999995</v>
      </c>
      <c r="M18" s="171"/>
      <c r="N18" s="76">
        <v>9000</v>
      </c>
      <c r="O18" s="122">
        <v>0.98699999999999999</v>
      </c>
      <c r="P18" s="171"/>
      <c r="Q18" s="76">
        <v>9000</v>
      </c>
      <c r="R18" s="123">
        <v>0.98299999999999998</v>
      </c>
      <c r="T18" s="110"/>
      <c r="AG18" s="179"/>
    </row>
    <row r="19" spans="1:33" ht="19.5" customHeight="1" x14ac:dyDescent="0.25">
      <c r="A19" s="110"/>
      <c r="B19" s="175"/>
      <c r="C19" s="228"/>
      <c r="D19" s="229"/>
      <c r="E19" s="176"/>
      <c r="F19" s="109"/>
      <c r="G19" s="175"/>
      <c r="H19" s="181" t="s">
        <v>83</v>
      </c>
      <c r="I19" s="76">
        <v>17000</v>
      </c>
      <c r="J19" s="175"/>
      <c r="K19" s="76">
        <v>10000</v>
      </c>
      <c r="L19" s="122">
        <v>0.98829999999999996</v>
      </c>
      <c r="M19" s="171"/>
      <c r="N19" s="76">
        <v>10000</v>
      </c>
      <c r="O19" s="122">
        <v>0.98560000000000003</v>
      </c>
      <c r="P19" s="171"/>
      <c r="Q19" s="76">
        <v>10000</v>
      </c>
      <c r="R19" s="123">
        <v>0.98099999999999998</v>
      </c>
      <c r="T19" s="110"/>
      <c r="AG19" s="179"/>
    </row>
    <row r="20" spans="1:33" ht="19.5" customHeight="1" x14ac:dyDescent="0.25">
      <c r="A20" s="110"/>
      <c r="B20" s="175"/>
      <c r="C20" s="228"/>
      <c r="D20" s="229"/>
      <c r="E20" s="176"/>
      <c r="F20" s="109"/>
      <c r="G20" s="175"/>
      <c r="H20" s="181" t="s">
        <v>49</v>
      </c>
      <c r="I20" s="76">
        <v>800</v>
      </c>
      <c r="J20" s="175"/>
      <c r="K20" s="76">
        <v>11000</v>
      </c>
      <c r="L20" s="122">
        <v>0.98750000000000004</v>
      </c>
      <c r="M20" s="171"/>
      <c r="N20" s="76">
        <v>11000</v>
      </c>
      <c r="O20" s="122">
        <v>0.98470000000000002</v>
      </c>
      <c r="P20" s="171"/>
      <c r="Q20" s="76">
        <v>11000</v>
      </c>
      <c r="R20" s="123">
        <v>0.97940000000000005</v>
      </c>
      <c r="T20" s="110"/>
      <c r="AG20" s="179"/>
    </row>
    <row r="21" spans="1:33" ht="19.5" customHeight="1" x14ac:dyDescent="0.25">
      <c r="A21" s="110"/>
      <c r="B21" s="175"/>
      <c r="C21" s="228"/>
      <c r="D21" s="229"/>
      <c r="E21" s="176"/>
      <c r="F21" s="109"/>
      <c r="G21" s="175"/>
      <c r="H21" s="181" t="s">
        <v>50</v>
      </c>
      <c r="I21" s="76">
        <v>55</v>
      </c>
      <c r="J21" s="175"/>
      <c r="K21" s="76">
        <v>12000</v>
      </c>
      <c r="L21" s="122">
        <v>0.98640000000000005</v>
      </c>
      <c r="M21" s="171"/>
      <c r="N21" s="76">
        <v>12000</v>
      </c>
      <c r="O21" s="122">
        <v>0.98380000000000001</v>
      </c>
      <c r="P21" s="171"/>
      <c r="Q21" s="76">
        <v>12000</v>
      </c>
      <c r="R21" s="123">
        <v>0.97760000000000002</v>
      </c>
      <c r="T21" s="110"/>
      <c r="AG21" s="179"/>
    </row>
    <row r="22" spans="1:33" ht="19.5" customHeight="1" x14ac:dyDescent="0.25">
      <c r="A22" s="110"/>
      <c r="B22" s="175"/>
      <c r="C22" s="228"/>
      <c r="D22" s="229"/>
      <c r="E22" s="176"/>
      <c r="F22" s="109"/>
      <c r="G22" s="175"/>
      <c r="H22" s="181" t="s">
        <v>51</v>
      </c>
      <c r="I22" s="76">
        <v>85</v>
      </c>
      <c r="J22" s="175"/>
      <c r="K22" s="124">
        <v>13000</v>
      </c>
      <c r="L22" s="121">
        <v>0.98550000000000004</v>
      </c>
      <c r="M22" s="171"/>
      <c r="N22" s="76">
        <v>13000</v>
      </c>
      <c r="O22" s="123">
        <v>0.9829</v>
      </c>
      <c r="P22" s="171"/>
      <c r="Q22" s="76">
        <v>13000</v>
      </c>
      <c r="R22" s="123">
        <v>0.97570000000000001</v>
      </c>
      <c r="T22" s="110"/>
      <c r="AG22" s="179"/>
    </row>
    <row r="23" spans="1:33" ht="21" customHeight="1" thickBot="1" x14ac:dyDescent="0.3">
      <c r="A23" s="110"/>
      <c r="B23" s="175"/>
      <c r="C23" s="228"/>
      <c r="D23" s="229"/>
      <c r="E23" s="176"/>
      <c r="F23" s="109"/>
      <c r="G23" s="175"/>
      <c r="H23" s="182" t="s">
        <v>52</v>
      </c>
      <c r="I23" s="77">
        <v>105</v>
      </c>
      <c r="J23" s="175"/>
      <c r="K23" s="76">
        <v>14000</v>
      </c>
      <c r="L23" s="123">
        <v>0.98460000000000003</v>
      </c>
      <c r="M23" s="171"/>
      <c r="N23" s="76">
        <v>14000</v>
      </c>
      <c r="O23" s="123">
        <v>0.98199999999999998</v>
      </c>
      <c r="P23" s="171"/>
      <c r="Q23" s="76">
        <v>14000</v>
      </c>
      <c r="R23" s="123">
        <v>0.97389999999999999</v>
      </c>
      <c r="T23" s="110"/>
    </row>
    <row r="24" spans="1:33" ht="20.25" customHeight="1" x14ac:dyDescent="0.25">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v>15000</v>
      </c>
      <c r="L24" s="123">
        <v>0.98370000000000002</v>
      </c>
      <c r="M24" s="171"/>
      <c r="N24" s="76">
        <v>15000</v>
      </c>
      <c r="O24" s="123">
        <v>0.98119999999999996</v>
      </c>
      <c r="P24" s="171"/>
      <c r="Q24" s="76">
        <v>15000</v>
      </c>
      <c r="R24" s="123">
        <v>0.97240000000000004</v>
      </c>
      <c r="T24" s="110"/>
    </row>
    <row r="25" spans="1:33" ht="18" customHeight="1" x14ac:dyDescent="0.25">
      <c r="A25" s="110"/>
      <c r="B25" s="175"/>
      <c r="C25" s="228"/>
      <c r="D25" s="229"/>
      <c r="E25" s="176"/>
      <c r="F25" s="109"/>
      <c r="G25" s="175"/>
      <c r="H25" s="240"/>
      <c r="I25" s="240"/>
      <c r="J25" s="175"/>
      <c r="K25" s="76">
        <v>16000</v>
      </c>
      <c r="L25" s="123">
        <v>0.98309999999999997</v>
      </c>
      <c r="M25" s="171"/>
      <c r="N25" s="76">
        <v>16000</v>
      </c>
      <c r="O25" s="123">
        <v>0.98060000000000003</v>
      </c>
      <c r="P25" s="171"/>
      <c r="Q25" s="76">
        <v>16000</v>
      </c>
      <c r="R25" s="123">
        <v>0.97099999999999997</v>
      </c>
      <c r="T25" s="110"/>
    </row>
    <row r="26" spans="1:33" ht="18.75" customHeight="1" x14ac:dyDescent="0.25">
      <c r="A26" s="110"/>
      <c r="B26" s="175"/>
      <c r="C26" s="228"/>
      <c r="D26" s="229"/>
      <c r="E26" s="176"/>
      <c r="F26" s="109"/>
      <c r="G26" s="175"/>
      <c r="H26" s="240"/>
      <c r="I26" s="240"/>
      <c r="J26" s="175"/>
      <c r="K26" s="76">
        <v>17000</v>
      </c>
      <c r="L26" s="123">
        <v>0.98250000000000004</v>
      </c>
      <c r="M26" s="171"/>
      <c r="N26" s="76">
        <v>17000</v>
      </c>
      <c r="O26" s="123">
        <v>0.9798</v>
      </c>
      <c r="P26" s="171"/>
      <c r="Q26" s="76">
        <v>17000</v>
      </c>
      <c r="R26" s="123">
        <v>0.96989999999999998</v>
      </c>
      <c r="T26" s="110"/>
    </row>
    <row r="27" spans="1:33" ht="21" customHeight="1" x14ac:dyDescent="0.25">
      <c r="A27" s="110"/>
      <c r="B27" s="175"/>
      <c r="C27" s="228"/>
      <c r="D27" s="229"/>
      <c r="E27" s="176"/>
      <c r="F27" s="109"/>
      <c r="G27" s="175"/>
      <c r="J27" s="175"/>
      <c r="K27" s="76"/>
      <c r="L27" s="123"/>
      <c r="M27" s="171"/>
      <c r="N27" s="76"/>
      <c r="O27" s="123"/>
      <c r="P27" s="171"/>
      <c r="Q27" s="76"/>
      <c r="R27" s="123"/>
      <c r="T27" s="110"/>
    </row>
    <row r="28" spans="1:33" ht="18.75" customHeight="1" x14ac:dyDescent="0.25">
      <c r="A28" s="110"/>
      <c r="B28" s="175"/>
      <c r="C28" s="228"/>
      <c r="D28" s="229"/>
      <c r="E28" s="176"/>
      <c r="F28" s="109"/>
      <c r="G28" s="175"/>
      <c r="J28" s="183"/>
      <c r="K28" s="76"/>
      <c r="L28" s="123"/>
      <c r="M28" s="171"/>
      <c r="N28" s="76"/>
      <c r="O28" s="123"/>
      <c r="P28" s="171"/>
      <c r="Q28" s="76"/>
      <c r="R28" s="123"/>
      <c r="T28" s="110"/>
    </row>
    <row r="29" spans="1:33" ht="19.5" customHeight="1" thickBot="1" x14ac:dyDescent="0.25">
      <c r="A29" s="110"/>
      <c r="B29" s="183"/>
      <c r="C29" s="228"/>
      <c r="D29" s="229"/>
      <c r="E29" s="184"/>
      <c r="F29" s="185"/>
      <c r="G29" s="183"/>
      <c r="J29" s="183"/>
      <c r="K29" s="77"/>
      <c r="L29" s="125"/>
      <c r="M29" s="171"/>
      <c r="N29" s="77"/>
      <c r="O29" s="125"/>
      <c r="P29" s="171"/>
      <c r="Q29" s="77"/>
      <c r="R29" s="125"/>
      <c r="T29" s="110"/>
    </row>
    <row r="30" spans="1:33" ht="23.25" customHeight="1" x14ac:dyDescent="0.25">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x14ac:dyDescent="0.25">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x14ac:dyDescent="0.3">
      <c r="A32" s="110"/>
      <c r="B32" s="184"/>
      <c r="C32" s="228"/>
      <c r="D32" s="229"/>
      <c r="E32" s="184"/>
      <c r="F32" s="185"/>
      <c r="G32" s="183"/>
      <c r="H32" s="214" t="s">
        <v>89</v>
      </c>
      <c r="I32" s="241"/>
      <c r="K32" s="178"/>
      <c r="N32" s="178"/>
      <c r="O32" s="178"/>
      <c r="P32" s="164"/>
      <c r="Q32" s="178"/>
      <c r="R32" s="178"/>
    </row>
    <row r="33" spans="1:18" ht="37.5" customHeight="1" x14ac:dyDescent="0.25">
      <c r="A33" s="110"/>
      <c r="B33" s="184"/>
      <c r="C33" s="228"/>
      <c r="D33" s="229"/>
      <c r="E33" s="184"/>
      <c r="F33" s="185"/>
      <c r="H33" s="187" t="s">
        <v>91</v>
      </c>
      <c r="I33" s="75">
        <f>949.6/2</f>
        <v>474.8</v>
      </c>
      <c r="J33" s="74" t="str">
        <f>IF(I33&gt;I20,"The drive current of the chip in the luminaire must be less than or equal to the chip as tested under LM-80.","")</f>
        <v/>
      </c>
      <c r="K33" s="188"/>
      <c r="L33" s="188"/>
      <c r="N33" s="178"/>
      <c r="O33" s="178"/>
      <c r="P33" s="110"/>
      <c r="Q33" s="178"/>
      <c r="R33" s="178"/>
    </row>
    <row r="34" spans="1:18" ht="23.25" customHeight="1" x14ac:dyDescent="0.25">
      <c r="A34" s="110"/>
      <c r="B34" s="184"/>
      <c r="C34" s="228"/>
      <c r="D34" s="229"/>
      <c r="E34" s="184"/>
      <c r="F34" s="185"/>
      <c r="H34" s="189" t="s">
        <v>92</v>
      </c>
      <c r="I34" s="76">
        <v>64.83</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x14ac:dyDescent="0.3">
      <c r="A35" s="110"/>
      <c r="B35" s="184"/>
      <c r="C35" s="228"/>
      <c r="D35" s="229"/>
      <c r="E35" s="184"/>
      <c r="F35" s="185"/>
      <c r="H35" s="193" t="s">
        <v>93</v>
      </c>
      <c r="I35" s="77">
        <v>80</v>
      </c>
      <c r="J35" s="194"/>
      <c r="K35" s="191"/>
      <c r="L35" s="191"/>
      <c r="M35" s="192"/>
      <c r="N35" s="178"/>
      <c r="O35" s="178"/>
      <c r="P35" s="110"/>
      <c r="Q35" s="178"/>
      <c r="R35" s="178"/>
    </row>
    <row r="36" spans="1:18" ht="11.25" customHeight="1" x14ac:dyDescent="0.25">
      <c r="A36" s="110"/>
      <c r="B36" s="184"/>
      <c r="C36" s="228"/>
      <c r="D36" s="229"/>
      <c r="E36" s="184"/>
      <c r="F36" s="185"/>
      <c r="H36" s="112"/>
      <c r="J36" s="195"/>
      <c r="K36" s="195"/>
      <c r="L36" s="196"/>
      <c r="M36" s="192"/>
      <c r="N36" s="178"/>
      <c r="O36" s="178"/>
      <c r="P36" s="110"/>
      <c r="Q36" s="178"/>
      <c r="R36" s="178"/>
    </row>
    <row r="37" spans="1:18" ht="11.25" customHeight="1" x14ac:dyDescent="0.25">
      <c r="A37" s="110"/>
      <c r="B37" s="197"/>
      <c r="C37" s="228"/>
      <c r="D37" s="229"/>
      <c r="E37" s="197"/>
      <c r="F37" s="185"/>
      <c r="G37" s="163"/>
      <c r="H37" s="198"/>
      <c r="I37" s="110"/>
      <c r="J37" s="163"/>
      <c r="K37" s="164"/>
      <c r="L37" s="164"/>
      <c r="M37" s="164"/>
      <c r="N37" s="164"/>
      <c r="O37" s="164"/>
      <c r="P37" s="164"/>
      <c r="Q37" s="178"/>
      <c r="R37" s="178"/>
    </row>
    <row r="38" spans="1:18" ht="23.25" customHeight="1" x14ac:dyDescent="0.25">
      <c r="A38" s="110"/>
      <c r="B38" s="197"/>
      <c r="C38" s="228"/>
      <c r="D38" s="229"/>
      <c r="E38" s="197"/>
      <c r="F38" s="185"/>
      <c r="H38" s="236" t="s">
        <v>9</v>
      </c>
      <c r="I38" s="237"/>
      <c r="K38" s="178"/>
      <c r="L38" s="178"/>
      <c r="N38" s="178"/>
      <c r="O38" s="178"/>
      <c r="P38" s="164"/>
      <c r="Q38" s="178"/>
      <c r="R38" s="178"/>
    </row>
    <row r="39" spans="1:18" ht="4.5" customHeight="1" thickBot="1" x14ac:dyDescent="0.25">
      <c r="A39" s="110"/>
      <c r="C39" s="228"/>
      <c r="D39" s="229"/>
      <c r="F39" s="185"/>
      <c r="H39" s="112"/>
      <c r="P39" s="162"/>
    </row>
    <row r="40" spans="1:18" ht="33.75" customHeight="1" x14ac:dyDescent="0.2">
      <c r="A40" s="110"/>
      <c r="C40" s="228"/>
      <c r="D40" s="229"/>
      <c r="F40" s="185"/>
      <c r="H40" s="187" t="s">
        <v>90</v>
      </c>
      <c r="I40" s="126">
        <v>100000</v>
      </c>
      <c r="J40" s="160"/>
      <c r="P40" s="162"/>
    </row>
    <row r="41" spans="1:18" ht="18.75" thickBot="1" x14ac:dyDescent="0.25">
      <c r="A41" s="110"/>
      <c r="C41" s="228"/>
      <c r="D41" s="229"/>
      <c r="F41" s="185"/>
      <c r="H41" s="193" t="s">
        <v>46</v>
      </c>
      <c r="I41" s="127">
        <f>IFERROR(IF(K30="",IF(I40="","",IF('TM-21 Inputs'!I34="","",'Product Inputs'!C14*EXP(-I40*'Product Inputs'!C16))),""),"")</f>
        <v>0.90813525374306703</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x14ac:dyDescent="0.3">
      <c r="A42" s="110"/>
      <c r="C42" s="230"/>
      <c r="D42" s="231"/>
      <c r="F42" s="185"/>
      <c r="H42" s="199" t="str">
        <f>IF(I35="","Reported LM (hours):",CONCATENATE("Reported L",'TM-21 Inputs'!I35," (hours):"))</f>
        <v>Reported L80 (hours):</v>
      </c>
      <c r="I42" s="207" t="str">
        <f>IFERROR(IF(K30="",IF('Product Inputs'!C18="error","",'Product Inputs'!C18),""),"")</f>
        <v>&gt;102000</v>
      </c>
      <c r="J42" s="234"/>
      <c r="K42" s="234"/>
      <c r="L42" s="234"/>
      <c r="M42" s="234"/>
      <c r="N42" s="234"/>
      <c r="O42" s="234"/>
      <c r="P42" s="162"/>
    </row>
    <row r="43" spans="1:18" ht="18.75" thickBot="1" x14ac:dyDescent="0.25">
      <c r="A43" s="110"/>
      <c r="C43" s="232"/>
      <c r="D43" s="233"/>
      <c r="F43" s="185"/>
      <c r="J43" s="234"/>
      <c r="K43" s="234"/>
      <c r="L43" s="234"/>
      <c r="M43" s="234"/>
      <c r="N43" s="234"/>
      <c r="O43" s="234"/>
      <c r="P43" s="162"/>
    </row>
    <row r="44" spans="1:18" ht="11.25" customHeight="1" x14ac:dyDescent="0.2">
      <c r="A44" s="110"/>
      <c r="F44" s="185"/>
      <c r="J44" s="200"/>
      <c r="K44" s="200"/>
      <c r="L44" s="201"/>
      <c r="M44" s="201"/>
      <c r="N44" s="201"/>
      <c r="O44" s="201"/>
      <c r="P44" s="162"/>
    </row>
    <row r="45" spans="1:18" ht="11.25" customHeight="1" x14ac:dyDescent="0.25">
      <c r="A45" s="110"/>
      <c r="B45" s="110"/>
      <c r="C45" s="110"/>
      <c r="D45" s="110"/>
      <c r="E45" s="110"/>
      <c r="F45" s="110"/>
      <c r="G45" s="110"/>
      <c r="H45" s="110"/>
      <c r="I45" s="110"/>
      <c r="J45" s="110"/>
      <c r="K45" s="162"/>
      <c r="L45" s="162"/>
      <c r="M45" s="164"/>
      <c r="N45" s="164"/>
      <c r="O45" s="164"/>
      <c r="P45" s="162"/>
    </row>
    <row r="46" spans="1:18" ht="15" x14ac:dyDescent="0.2">
      <c r="C46" s="160"/>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1.2649999999999999" right="0.7" top="0.75" bottom="0.75" header="0.3" footer="0.3"/>
  <pageSetup paperSize="9" scale="40"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activeCell="B25" sqref="B25"/>
    </sheetView>
  </sheetViews>
  <sheetFormatPr baseColWidth="10" defaultColWidth="9.140625"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3</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9.1922300951281085E-7</v>
      </c>
      <c r="F4" s="242" t="s">
        <v>57</v>
      </c>
      <c r="G4" s="243"/>
      <c r="H4" s="243"/>
      <c r="I4" s="243"/>
      <c r="J4" s="243"/>
      <c r="K4" s="243"/>
      <c r="L4" s="243"/>
      <c r="M4" s="244"/>
    </row>
    <row r="5" spans="2:13" ht="18.75" thickBot="1" x14ac:dyDescent="0.3">
      <c r="B5" s="64" t="s">
        <v>21</v>
      </c>
      <c r="C5" s="101">
        <f>IF(C3='Product Inputs'!G7,'Product Inputs'!G9,IF(C3='Product Inputs'!J7,'Product Inputs'!J9,IF(C3='Product Inputs'!M7,'Product Inputs'!M9)))</f>
        <v>0.99755310891785831</v>
      </c>
      <c r="F5" s="245" t="s">
        <v>12</v>
      </c>
      <c r="G5" s="246"/>
      <c r="H5" s="78"/>
      <c r="I5" s="247" t="s">
        <v>13</v>
      </c>
      <c r="J5" s="246"/>
      <c r="K5" s="78"/>
      <c r="L5" s="247" t="s">
        <v>14</v>
      </c>
      <c r="M5" s="248"/>
    </row>
    <row r="6" spans="2:13" ht="33" x14ac:dyDescent="0.25">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358.15</v>
      </c>
      <c r="F6" s="79" t="s">
        <v>10</v>
      </c>
      <c r="G6" s="80">
        <f>IF('TM-21 Inputs'!I21="","",'TM-21 Inputs'!I21)</f>
        <v>55</v>
      </c>
      <c r="H6" s="81"/>
      <c r="I6" s="82" t="s">
        <v>10</v>
      </c>
      <c r="J6" s="80">
        <f>IF('TM-21 Inputs'!I22="","",'TM-21 Inputs'!I22)</f>
        <v>85</v>
      </c>
      <c r="K6" s="81"/>
      <c r="L6" s="82" t="s">
        <v>10</v>
      </c>
      <c r="M6" s="83">
        <f>IF('TM-21 Inputs'!I23="","",'TM-21 Inputs'!I23)</f>
        <v>105</v>
      </c>
    </row>
    <row r="7" spans="2:13" x14ac:dyDescent="0.25">
      <c r="B7" s="63" t="s">
        <v>22</v>
      </c>
      <c r="C7" s="100">
        <f>IF(C6="N/A","N/A",IF(C6='Product Inputs'!G7,'Product Inputs'!G8,IF(C6='Product Inputs'!J7,'Product Inputs'!J8,IF(C6='Product Inputs'!M7,'Product Inputs'!M8))))</f>
        <v>9.4371339494180349E-7</v>
      </c>
      <c r="F7" s="84" t="s">
        <v>11</v>
      </c>
      <c r="G7" s="85">
        <f>IF(G6="","",G6+273.15)</f>
        <v>328.15</v>
      </c>
      <c r="H7" s="81"/>
      <c r="I7" s="86" t="s">
        <v>11</v>
      </c>
      <c r="J7" s="85">
        <f>IF(J6="","",J6+273.15)</f>
        <v>358.15</v>
      </c>
      <c r="K7" s="87"/>
      <c r="L7" s="86" t="s">
        <v>11</v>
      </c>
      <c r="M7" s="88">
        <f>IF(M6="","",M6+273.15)</f>
        <v>378.15</v>
      </c>
    </row>
    <row r="8" spans="2:13" ht="18.75" thickBot="1" x14ac:dyDescent="0.3">
      <c r="B8" s="64" t="s">
        <v>23</v>
      </c>
      <c r="C8" s="101">
        <f>IF(C6="N/A","N/A",IF(C6='Product Inputs'!G7,'Product Inputs'!G9,IF(C6='Product Inputs'!J7,'Product Inputs'!J9,IF(C6='Product Inputs'!M7,'Product Inputs'!M9))))</f>
        <v>0.99526795618765529</v>
      </c>
      <c r="F8" s="84" t="str">
        <f>'Calculations - Case Temp 1'!E31</f>
        <v>α:</v>
      </c>
      <c r="G8" s="89">
        <f>IF(G6="","",'Calculations - Case Temp 1'!F31)</f>
        <v>9.1922300951281085E-7</v>
      </c>
      <c r="H8" s="87"/>
      <c r="I8" s="86" t="str">
        <f>'Calculations - Case Temp 2'!E31</f>
        <v>α:</v>
      </c>
      <c r="J8" s="89">
        <f>IF(J6="","",'Calculations - Case Temp 2'!F31)</f>
        <v>9.4371339494180349E-7</v>
      </c>
      <c r="K8" s="87"/>
      <c r="L8" s="86" t="str">
        <f>'Calculations - Case Temp 3'!E31</f>
        <v>α:</v>
      </c>
      <c r="M8" s="90">
        <f>IF(M6="","",'Calculations - Case Temp 3'!F31)</f>
        <v>1.7392052351510254E-6</v>
      </c>
    </row>
    <row r="9" spans="2:13" ht="18" x14ac:dyDescent="0.25">
      <c r="B9" s="66" t="s">
        <v>19</v>
      </c>
      <c r="C9" s="65">
        <f>IF(OR(C6="N/A",'TM-21 Inputs'!I34=""),"",IF(AND(C3&gt;0,C6&gt;0),(LN(C4)-LN(C7))/((1/C6)-(1/C3)),"error"))</f>
        <v>103.00746889575666</v>
      </c>
      <c r="F9" s="84" t="str">
        <f>'Calculations - Case Temp 1'!E32</f>
        <v>B:</v>
      </c>
      <c r="G9" s="91">
        <f>IF(G6="","",'Calculations - Case Temp 1'!F32)</f>
        <v>0.99755310891785831</v>
      </c>
      <c r="H9" s="87"/>
      <c r="I9" s="86" t="str">
        <f>'Calculations - Case Temp 2'!E32</f>
        <v>B:</v>
      </c>
      <c r="J9" s="91">
        <f>IF(J6="","",'Calculations - Case Temp 2'!F32)</f>
        <v>0.99526795618765529</v>
      </c>
      <c r="K9" s="87"/>
      <c r="L9" s="86" t="str">
        <f>'Calculations - Case Temp 3'!E32</f>
        <v>B:</v>
      </c>
      <c r="M9" s="92">
        <f>IF(M6="","",'Calculations - Case Temp 3'!F32)</f>
        <v>0.99833745959000542</v>
      </c>
    </row>
    <row r="10" spans="2:13" hidden="1" x14ac:dyDescent="0.25">
      <c r="F10" s="84" t="str">
        <f>'Calculations - Case Temp 1'!E33</f>
        <v>Calculated L80 (hrs):</v>
      </c>
      <c r="G10" s="93">
        <f>IF(G6="","",IF('Calculations - Case Temp 1'!C26="FAIL","",'Calculations - Case Temp 1'!F33))</f>
        <v>240000</v>
      </c>
      <c r="H10" s="87"/>
      <c r="I10" s="86" t="str">
        <f>'Calculations - Case Temp 2'!E33</f>
        <v>Calculated L80 (hrs):</v>
      </c>
      <c r="J10" s="93">
        <f>IF(J6="","",IF('Calculations - Case Temp 2'!C26="FAIL","",'Calculations - Case Temp 2'!F33))</f>
        <v>231000</v>
      </c>
      <c r="K10" s="87"/>
      <c r="L10" s="86" t="str">
        <f>'Calculations - Case Temp 3'!E33</f>
        <v>Calculated L80 (hrs):</v>
      </c>
      <c r="M10" s="94">
        <f>IF(M6="","",IF('Calculations - Case Temp 3'!C26="FAIL","",'Calculations - Case Temp 3'!F33))</f>
        <v>127000</v>
      </c>
    </row>
    <row r="11" spans="2:13" ht="18.75" thickBot="1" x14ac:dyDescent="0.3">
      <c r="B11" s="67" t="s">
        <v>24</v>
      </c>
      <c r="C11" s="68">
        <f>8.6173*(10^-5)</f>
        <v>8.6173000000000003E-5</v>
      </c>
      <c r="F11" s="95" t="str">
        <f>'Calculations - Case Temp 1'!E34</f>
        <v>Reported L80 (hrs):</v>
      </c>
      <c r="G11" s="96" t="str">
        <f>IF(G6="","",IF('Calculations - Case Temp 1'!C26="FAIL","",'Calculations - Case Temp 1'!F34))</f>
        <v>&gt;102000</v>
      </c>
      <c r="H11" s="97"/>
      <c r="I11" s="98" t="str">
        <f>'Calculations - Case Temp 2'!E34</f>
        <v>Reported L80 (hrs):</v>
      </c>
      <c r="J11" s="96" t="str">
        <f>IF(J6="","",IF('Calculations - Case Temp 2'!C26="FAIL","",'Calculations - Case Temp 2'!F34))</f>
        <v>&gt;102000</v>
      </c>
      <c r="K11" s="97"/>
      <c r="L11" s="98" t="str">
        <f>'Calculations - Case Temp 3'!E34</f>
        <v>Reported L80 (hrs):</v>
      </c>
      <c r="M11" s="99" t="str">
        <f>IF(M6="","",IF('Calculations - Case Temp 3'!C26="FAIL","",'Calculations - Case Temp 3'!F34))</f>
        <v>&gt;102000</v>
      </c>
    </row>
    <row r="12" spans="2:13" ht="18" x14ac:dyDescent="0.25">
      <c r="B12" s="67" t="s">
        <v>25</v>
      </c>
      <c r="C12" s="68">
        <f>IF(OR(C6="N/A",'TM-21 Inputs'!I34=""),"",C9*C11)</f>
        <v>8.8764626171540396E-3</v>
      </c>
    </row>
    <row r="13" spans="2:13" x14ac:dyDescent="0.25">
      <c r="B13" s="67" t="s">
        <v>2</v>
      </c>
      <c r="C13" s="100">
        <f>IF(OR(C6="N/A",'TM-21 Inputs'!I34=""),"",IF('TM-21 Inputs'!I34="","",C4*EXP(C12/(C11*C3))))</f>
        <v>1.2581936574055781E-6</v>
      </c>
    </row>
    <row r="14" spans="2:13" ht="18.75" thickBot="1" x14ac:dyDescent="0.3">
      <c r="B14" s="69" t="s">
        <v>26</v>
      </c>
      <c r="C14" s="101">
        <f>IF('TM-21 Inputs'!I34="","",IF(C6="N/A",C5,IF('TM-21 Inputs'!I34="","",SQRT(C5*C8))))</f>
        <v>0.99640987746073573</v>
      </c>
      <c r="I14" s="1" t="s">
        <v>58</v>
      </c>
    </row>
    <row r="15" spans="2:13" ht="18" x14ac:dyDescent="0.25">
      <c r="B15" s="61" t="s">
        <v>38</v>
      </c>
      <c r="C15" s="70">
        <f>IF('TM-21 Inputs'!I34="","",'TM-21 Inputs'!I34+273.15)</f>
        <v>337.97999999999996</v>
      </c>
    </row>
    <row r="16" spans="2:13" ht="18" x14ac:dyDescent="0.25">
      <c r="B16" s="63" t="s">
        <v>27</v>
      </c>
      <c r="C16" s="100">
        <f>IF('TM-21 Inputs'!I34="","",IF(C6="N/A",C4,C13*(EXP(-C9/C15))))</f>
        <v>9.276537111197345E-7</v>
      </c>
    </row>
    <row r="17" spans="2:3" hidden="1" x14ac:dyDescent="0.25">
      <c r="B17" s="67" t="str">
        <f>CONCATENATE("Calculated L",'TM-21 Inputs'!I35," (hrs):")</f>
        <v>Calculated L80 (hrs):</v>
      </c>
      <c r="C17" s="107">
        <f>IF('TM-21 Inputs'!I34="","",ROUND((LN(100*C14/'TM-21 Inputs'!I35)/C16),-3))</f>
        <v>237000</v>
      </c>
    </row>
    <row r="18" spans="2:3" ht="15.75" thickBot="1" x14ac:dyDescent="0.3">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&gt;102000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1.2649999999999999" right="0.7" top="0.75" bottom="0.75" header="0.3" footer="0.3"/>
  <pageSetup paperSize="9" scale="95" orientation="landscape" horizontalDpi="300" verticalDpi="300"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J1" sqref="J1:M16"/>
    </sheetView>
  </sheetViews>
  <sheetFormatPr baseColWidth="10" defaultColWidth="9.140625"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9.1922300951281085E-7</v>
      </c>
    </row>
    <row r="5" spans="2:12" ht="18.75" thickBot="1" x14ac:dyDescent="0.4">
      <c r="B5" s="46" t="s">
        <v>41</v>
      </c>
      <c r="C5" s="48">
        <f>'TM-21 Inputs'!I20</f>
        <v>800</v>
      </c>
      <c r="E5" s="46" t="s">
        <v>41</v>
      </c>
      <c r="F5" s="48">
        <f>'TM-21 Inputs'!I20</f>
        <v>800</v>
      </c>
      <c r="H5" s="46" t="s">
        <v>41</v>
      </c>
      <c r="I5" s="48">
        <f>'TM-21 Inputs'!I20</f>
        <v>800</v>
      </c>
      <c r="K5" s="45" t="s">
        <v>21</v>
      </c>
      <c r="L5" s="104">
        <f>'Product Inputs'!C5</f>
        <v>0.99755310891785831</v>
      </c>
    </row>
    <row r="6" spans="2:12" ht="18" x14ac:dyDescent="0.35">
      <c r="B6" s="46" t="s">
        <v>42</v>
      </c>
      <c r="C6" s="48">
        <f>'TM-21 Inputs'!I19</f>
        <v>17000</v>
      </c>
      <c r="E6" s="46" t="s">
        <v>42</v>
      </c>
      <c r="F6" s="48">
        <f>'TM-21 Inputs'!I19</f>
        <v>17000</v>
      </c>
      <c r="H6" s="46" t="s">
        <v>42</v>
      </c>
      <c r="I6" s="48">
        <f>IF(I8="","",'TM-21 Inputs'!I19)</f>
        <v>17000</v>
      </c>
      <c r="K6" s="42" t="s">
        <v>35</v>
      </c>
      <c r="L6" s="54">
        <f>IFERROR('Product Inputs'!C6-273.15,"")</f>
        <v>85</v>
      </c>
    </row>
    <row r="7" spans="2:12" ht="31.5" x14ac:dyDescent="0.35">
      <c r="B7" s="46" t="s">
        <v>43</v>
      </c>
      <c r="C7" s="49">
        <f>C6-MIN('Calculations - Case Temp 1'!E6:E25)</f>
        <v>9000</v>
      </c>
      <c r="E7" s="46" t="s">
        <v>43</v>
      </c>
      <c r="F7" s="49">
        <f>C6-MIN('Calculations - Case Temp 2'!E6:E25)</f>
        <v>9000</v>
      </c>
      <c r="H7" s="46" t="s">
        <v>43</v>
      </c>
      <c r="I7" s="49">
        <f>IF(I8="","",C6-MIN('Calculations - Case Temp 3'!E6:E25))</f>
        <v>9000</v>
      </c>
      <c r="K7" s="43" t="s">
        <v>30</v>
      </c>
      <c r="L7" s="56">
        <f>'Product Inputs'!C6</f>
        <v>358.15</v>
      </c>
    </row>
    <row r="8" spans="2:12" ht="18" x14ac:dyDescent="0.35">
      <c r="B8" s="46" t="s">
        <v>44</v>
      </c>
      <c r="C8" s="48">
        <f>IF('TM-21 Inputs'!I21="","",'TM-21 Inputs'!I21)</f>
        <v>55</v>
      </c>
      <c r="E8" s="46" t="s">
        <v>44</v>
      </c>
      <c r="F8" s="48">
        <f>IF('TM-21 Inputs'!I22="","",'TM-21 Inputs'!I22)</f>
        <v>85</v>
      </c>
      <c r="H8" s="46" t="s">
        <v>44</v>
      </c>
      <c r="I8" s="48">
        <f>IF('TM-21 Inputs'!I23="","",'TM-21 Inputs'!I23)</f>
        <v>105</v>
      </c>
      <c r="K8" s="44" t="s">
        <v>31</v>
      </c>
      <c r="L8" s="102">
        <f>'Product Inputs'!C7</f>
        <v>9.4371339494180349E-7</v>
      </c>
    </row>
    <row r="9" spans="2:12" ht="18.75" thickBot="1" x14ac:dyDescent="0.4">
      <c r="B9" s="44" t="s">
        <v>17</v>
      </c>
      <c r="C9" s="50">
        <f>'Calculations - Case Temp 1'!F31</f>
        <v>9.1922300951281085E-7</v>
      </c>
      <c r="E9" s="44" t="s">
        <v>17</v>
      </c>
      <c r="F9" s="50">
        <f>'Calculations - Case Temp 2'!F31</f>
        <v>9.4371339494180349E-7</v>
      </c>
      <c r="H9" s="44" t="s">
        <v>17</v>
      </c>
      <c r="I9" s="50">
        <f>IF(I8="","",'Calculations - Case Temp 3'!F31)</f>
        <v>1.7392052351510254E-6</v>
      </c>
      <c r="K9" s="45" t="s">
        <v>23</v>
      </c>
      <c r="L9" s="104">
        <f>'Product Inputs'!C8</f>
        <v>0.99526795618765529</v>
      </c>
    </row>
    <row r="10" spans="2:12" ht="18" x14ac:dyDescent="0.35">
      <c r="B10" s="46" t="s">
        <v>18</v>
      </c>
      <c r="C10" s="50">
        <f>'Calculations - Case Temp 1'!F32</f>
        <v>0.99755310891785831</v>
      </c>
      <c r="E10" s="46" t="s">
        <v>18</v>
      </c>
      <c r="F10" s="50">
        <f>'Calculations - Case Temp 2'!F32</f>
        <v>0.99526795618765529</v>
      </c>
      <c r="H10" s="46" t="s">
        <v>18</v>
      </c>
      <c r="I10" s="50">
        <f>IF(I8="","",'Calculations - Case Temp 3'!F32)</f>
        <v>0.99833745959000542</v>
      </c>
      <c r="K10" s="42" t="s">
        <v>19</v>
      </c>
      <c r="L10" s="57">
        <f>'Product Inputs'!C9</f>
        <v>103.00746889575666</v>
      </c>
    </row>
    <row r="11" spans="2:12" x14ac:dyDescent="0.25">
      <c r="B11" s="46" t="str">
        <f>CONCATENATE("Calculated L",'TM-21 Inputs'!I35," (hrs):")</f>
        <v>Calculated L80 (hrs):</v>
      </c>
      <c r="C11" s="51">
        <f>'Calculations - Case Temp 1'!F33</f>
        <v>240000</v>
      </c>
      <c r="E11" s="46" t="str">
        <f>CONCATENATE("Calculated L",'TM-21 Inputs'!I35," (hrs):")</f>
        <v>Calculated L80 (hrs):</v>
      </c>
      <c r="F11" s="51">
        <f>'Calculations - Case Temp 2'!F33</f>
        <v>231000</v>
      </c>
      <c r="H11" s="46" t="str">
        <f>CONCATENATE("Calculated L",'TM-21 Inputs'!I35," (hrs):")</f>
        <v>Calculated L80 (hrs):</v>
      </c>
      <c r="I11" s="51">
        <f>IF(I8="","",'Calculations - Case Temp 3'!F33)</f>
        <v>127000</v>
      </c>
      <c r="K11" s="43" t="s">
        <v>2</v>
      </c>
      <c r="L11" s="104">
        <f>'Product Inputs'!C13</f>
        <v>1.2581936574055781E-6</v>
      </c>
    </row>
    <row r="12" spans="2:12" ht="18.75" thickBot="1" x14ac:dyDescent="0.4">
      <c r="B12" s="52" t="str">
        <f>CONCATENATE("Reported L",'TM-21 Inputs'!I35," (hrs):")</f>
        <v>Reported L80 (hrs):</v>
      </c>
      <c r="C12" s="53" t="str">
        <f>'Calculations - Case Temp 1'!F34</f>
        <v>&gt;102000</v>
      </c>
      <c r="E12" s="52" t="str">
        <f>CONCATENATE("Reported L",'TM-21 Inputs'!I35," (hrs):")</f>
        <v>Reported L80 (hrs):</v>
      </c>
      <c r="F12" s="53" t="str">
        <f>'Calculations - Case Temp 2'!F34</f>
        <v>&gt;102000</v>
      </c>
      <c r="H12" s="52" t="str">
        <f>CONCATENATE("Reported L",'TM-21 Inputs'!I35," (hrs):")</f>
        <v>Reported L80 (hrs):</v>
      </c>
      <c r="I12" s="53" t="str">
        <f>IF(I8="","",'Calculations - Case Temp 3'!F34)</f>
        <v>&gt;102000</v>
      </c>
      <c r="K12" s="45" t="s">
        <v>26</v>
      </c>
      <c r="L12" s="105">
        <f>'Product Inputs'!C14</f>
        <v>0.99640987746073573</v>
      </c>
    </row>
    <row r="13" spans="2:12" ht="18" x14ac:dyDescent="0.35">
      <c r="K13" s="42" t="s">
        <v>32</v>
      </c>
      <c r="L13" s="58">
        <f>IF('Product Inputs'!C15="","",'Product Inputs'!C15-273.15)</f>
        <v>64.829999999999984</v>
      </c>
    </row>
    <row r="14" spans="2:12" ht="18" x14ac:dyDescent="0.35">
      <c r="K14" s="43" t="s">
        <v>33</v>
      </c>
      <c r="L14" s="48">
        <f>'Product Inputs'!C15</f>
        <v>337.97999999999996</v>
      </c>
    </row>
    <row r="15" spans="2:12" ht="18.75" thickBot="1" x14ac:dyDescent="0.4">
      <c r="K15" s="72" t="s">
        <v>27</v>
      </c>
      <c r="L15" s="103">
        <f>'Product Inputs'!C16</f>
        <v>9.276537111197345E-7</v>
      </c>
    </row>
  </sheetData>
  <sheetProtection password="C066" sheet="1" objects="1" scenarios="1"/>
  <pageMargins left="1.2649999999999999" right="0.7" top="0.75" bottom="0.75" header="0.3" footer="0.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abSelected="1" topLeftCell="C20" zoomScale="85" zoomScaleNormal="85" workbookViewId="0">
      <selection activeCell="J30" sqref="J30:M32"/>
    </sheetView>
  </sheetViews>
  <sheetFormatPr baseColWidth="10" defaultColWidth="9.140625" defaultRowHeight="15" x14ac:dyDescent="0.2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57" t="s">
        <v>87</v>
      </c>
      <c r="C2" s="257"/>
      <c r="D2" s="257"/>
      <c r="E2" s="257"/>
      <c r="F2" s="257"/>
      <c r="G2" s="257"/>
      <c r="H2" s="257"/>
      <c r="I2" s="257"/>
      <c r="J2" s="257"/>
      <c r="K2" s="257"/>
      <c r="L2" s="257"/>
      <c r="M2" s="257"/>
      <c r="N2" s="257"/>
      <c r="O2" s="110"/>
    </row>
    <row r="3" spans="1:15" ht="15" customHeight="1" x14ac:dyDescent="0.25">
      <c r="A3" s="109"/>
      <c r="B3" s="257"/>
      <c r="C3" s="257"/>
      <c r="D3" s="257"/>
      <c r="E3" s="257"/>
      <c r="F3" s="257"/>
      <c r="G3" s="257"/>
      <c r="H3" s="257"/>
      <c r="I3" s="257"/>
      <c r="J3" s="257"/>
      <c r="K3" s="257"/>
      <c r="L3" s="257"/>
      <c r="M3" s="257"/>
      <c r="N3" s="257"/>
      <c r="O3" s="110"/>
    </row>
    <row r="4" spans="1:15" ht="15" customHeight="1" x14ac:dyDescent="0.25">
      <c r="A4" s="109"/>
      <c r="B4" s="257"/>
      <c r="C4" s="257"/>
      <c r="D4" s="257"/>
      <c r="E4" s="257"/>
      <c r="F4" s="257"/>
      <c r="G4" s="257"/>
      <c r="H4" s="257"/>
      <c r="I4" s="257"/>
      <c r="J4" s="257"/>
      <c r="K4" s="257"/>
      <c r="L4" s="257"/>
      <c r="M4" s="257"/>
      <c r="N4" s="257"/>
      <c r="O4" s="110"/>
    </row>
    <row r="5" spans="1:15" ht="12" customHeight="1" x14ac:dyDescent="0.25">
      <c r="A5" s="109"/>
      <c r="B5" s="257"/>
      <c r="C5" s="257"/>
      <c r="D5" s="257"/>
      <c r="E5" s="257"/>
      <c r="F5" s="257"/>
      <c r="G5" s="257"/>
      <c r="H5" s="257"/>
      <c r="I5" s="257"/>
      <c r="J5" s="257"/>
      <c r="K5" s="257"/>
      <c r="L5" s="257"/>
      <c r="M5" s="257"/>
      <c r="N5" s="257"/>
      <c r="O5" s="110"/>
    </row>
    <row r="6" spans="1:15" ht="8.25" customHeight="1" x14ac:dyDescent="0.25">
      <c r="A6" s="109"/>
      <c r="B6" s="257"/>
      <c r="C6" s="257"/>
      <c r="D6" s="257"/>
      <c r="E6" s="257"/>
      <c r="F6" s="257"/>
      <c r="G6" s="257"/>
      <c r="H6" s="257"/>
      <c r="I6" s="257"/>
      <c r="J6" s="257"/>
      <c r="K6" s="257"/>
      <c r="L6" s="257"/>
      <c r="M6" s="257"/>
      <c r="N6" s="257"/>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73"/>
      <c r="C8" s="73"/>
      <c r="D8" s="73"/>
      <c r="E8" s="73"/>
      <c r="F8" s="73"/>
      <c r="G8" s="73"/>
      <c r="H8" s="73"/>
      <c r="I8" s="73"/>
      <c r="J8" s="73"/>
      <c r="K8" s="73"/>
      <c r="L8" s="73"/>
      <c r="M8" s="73"/>
      <c r="N8" s="73"/>
      <c r="O8" s="110"/>
    </row>
    <row r="9" spans="1:15" ht="15.75" thickBot="1" x14ac:dyDescent="0.3">
      <c r="A9" s="109"/>
      <c r="B9" s="73"/>
      <c r="C9" s="262" t="s">
        <v>57</v>
      </c>
      <c r="D9" s="263"/>
      <c r="E9" s="263"/>
      <c r="F9" s="263"/>
      <c r="G9" s="263"/>
      <c r="H9" s="263"/>
      <c r="I9" s="263"/>
      <c r="J9" s="264"/>
      <c r="K9" s="73"/>
      <c r="L9" s="258" t="s">
        <v>81</v>
      </c>
      <c r="M9" s="259"/>
      <c r="N9" s="73"/>
      <c r="O9" s="110"/>
    </row>
    <row r="10" spans="1:15" ht="15" customHeight="1" thickBot="1" x14ac:dyDescent="0.3">
      <c r="A10" s="109"/>
      <c r="B10" s="73"/>
      <c r="C10" s="267" t="s">
        <v>88</v>
      </c>
      <c r="D10" s="268"/>
      <c r="E10" s="269"/>
      <c r="F10" s="276" t="str">
        <f>IF('TM-21 Inputs'!H9="","",'TM-21 Inputs'!H9)</f>
        <v>RALED II PLUS 48 LED 145W (Se evalua en ta de 25°C)                                                                          UHE Y DA-UHE LM-80-15 OSCONIQ S 5050 GTG REPORT ANSI/IES LM-80-20 800mA 17000H Test Report.N01A240811172L00101, COD. LAB: 26-0340, Corriente Driver:949.6mA, Cada Modulo:949.6mA, Corriente LED:474.8mA</v>
      </c>
      <c r="G10" s="277"/>
      <c r="H10" s="277"/>
      <c r="I10" s="277"/>
      <c r="J10" s="278"/>
      <c r="K10" s="73"/>
      <c r="L10" s="260" t="s">
        <v>85</v>
      </c>
      <c r="M10" s="261"/>
      <c r="N10" s="73"/>
      <c r="O10" s="110"/>
    </row>
    <row r="11" spans="1:15" ht="18.75" x14ac:dyDescent="0.25">
      <c r="A11" s="109"/>
      <c r="B11" s="73"/>
      <c r="C11" s="270"/>
      <c r="D11" s="271"/>
      <c r="E11" s="272"/>
      <c r="F11" s="279"/>
      <c r="G11" s="280"/>
      <c r="H11" s="280"/>
      <c r="I11" s="280"/>
      <c r="J11" s="281"/>
      <c r="K11" s="73"/>
      <c r="L11" s="141" t="s">
        <v>67</v>
      </c>
      <c r="M11" s="149">
        <f>IF('TM-21 Projection'!L2="","-",'TM-21 Projection'!L2)</f>
        <v>55</v>
      </c>
      <c r="N11" s="73"/>
      <c r="O11" s="110"/>
    </row>
    <row r="12" spans="1:15" ht="28.5" customHeight="1" thickBot="1" x14ac:dyDescent="0.3">
      <c r="A12" s="109"/>
      <c r="B12" s="73"/>
      <c r="C12" s="273"/>
      <c r="D12" s="274"/>
      <c r="E12" s="275"/>
      <c r="F12" s="282"/>
      <c r="G12" s="283"/>
      <c r="H12" s="283"/>
      <c r="I12" s="283"/>
      <c r="J12" s="284"/>
      <c r="K12" s="73"/>
      <c r="L12" s="142" t="s">
        <v>68</v>
      </c>
      <c r="M12" s="150">
        <f>IF(OR('TM-21 Projection'!L3="",'TM-21 Projection'!L3="In situ case temp too high"),"-",'TM-21 Projection'!L3)</f>
        <v>328.15</v>
      </c>
      <c r="N12" s="73"/>
      <c r="O12" s="110"/>
    </row>
    <row r="13" spans="1:15" ht="19.5" thickBot="1" x14ac:dyDescent="0.3">
      <c r="A13" s="109"/>
      <c r="B13" s="73"/>
      <c r="C13" s="265" t="str">
        <f>IF('TM-21 Inputs'!I21="","",CONCATENATE("Test Condition 1 - ",'TM-21 Inputs'!I21,"⁰C Case Temp"))</f>
        <v>Test Condition 1 - 55⁰C Case Temp</v>
      </c>
      <c r="D13" s="266"/>
      <c r="E13" s="111"/>
      <c r="F13" s="265" t="str">
        <f>IF('TM-21 Inputs'!I22="","",CONCATENATE("Test Condition 2 - ",'TM-21 Inputs'!I22,"⁰C Case Temp"))</f>
        <v>Test Condition 2 - 85⁰C Case Temp</v>
      </c>
      <c r="G13" s="266"/>
      <c r="H13" s="111"/>
      <c r="I13" s="265" t="str">
        <f>IF('TM-21 Inputs'!I23="","",CONCATENATE("Test Condition 3 - ",'TM-21 Inputs'!I23,"⁰C Case Temp"))</f>
        <v>Test Condition 3 - 105⁰C Case Temp</v>
      </c>
      <c r="J13" s="266"/>
      <c r="K13" s="73"/>
      <c r="L13" s="143" t="s">
        <v>69</v>
      </c>
      <c r="M13" s="151">
        <f>IF('TM-21 Projection'!L4="","-",'TM-21 Projection'!L4)</f>
        <v>9.1922300951281085E-7</v>
      </c>
      <c r="N13" s="73"/>
      <c r="O13" s="110"/>
    </row>
    <row r="14" spans="1:15" s="116" customFormat="1" ht="18.75" x14ac:dyDescent="0.2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0.99755310891785831</v>
      </c>
      <c r="N14" s="112"/>
      <c r="O14" s="110"/>
    </row>
    <row r="15" spans="1:15" s="116" customFormat="1" ht="18.75" x14ac:dyDescent="0.2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f>IF('TM-21 Projection'!L6="","-",'TM-21 Projection'!L6)</f>
        <v>85</v>
      </c>
      <c r="N15" s="112"/>
      <c r="O15" s="110"/>
    </row>
    <row r="16" spans="1:15" s="116" customFormat="1" ht="28.5" x14ac:dyDescent="0.25">
      <c r="A16" s="109"/>
      <c r="B16" s="112"/>
      <c r="C16" s="128" t="s">
        <v>62</v>
      </c>
      <c r="D16" s="132">
        <f>IF(OR('TM-21 Inputs'!$I$20="",C13=""),"-",'TM-21 Inputs'!$I$20)</f>
        <v>800</v>
      </c>
      <c r="E16" s="113"/>
      <c r="F16" s="128" t="str">
        <f t="shared" si="0"/>
        <v>DUT drive current used in the test (mA)</v>
      </c>
      <c r="G16" s="132">
        <f>IF(OR('TM-21 Inputs'!$I$20="",F13=""),"-",'TM-21 Inputs'!$I$20)</f>
        <v>800</v>
      </c>
      <c r="H16" s="113"/>
      <c r="I16" s="128" t="str">
        <f t="shared" si="1"/>
        <v>DUT drive current used in the test (mA)</v>
      </c>
      <c r="J16" s="132">
        <f>IF(OR('TM-21 Inputs'!$I$20="",I13=""),"-",'TM-21 Inputs'!$I$20)</f>
        <v>800</v>
      </c>
      <c r="K16" s="112"/>
      <c r="L16" s="142" t="s">
        <v>72</v>
      </c>
      <c r="M16" s="154">
        <f>IF(OR('TM-21 Projection'!L7="",'TM-21 Projection'!L7="N/A"),"-",'TM-21 Projection'!L7)</f>
        <v>358.15</v>
      </c>
      <c r="N16" s="112"/>
      <c r="O16" s="110"/>
    </row>
    <row r="17" spans="1:15" s="116" customFormat="1" ht="18.75" x14ac:dyDescent="0.25">
      <c r="A17" s="109"/>
      <c r="B17" s="112"/>
      <c r="C17" s="128" t="s">
        <v>65</v>
      </c>
      <c r="D17" s="133">
        <f>IF(OR('TM-21 Inputs'!I19="",C13=""),"-",'TM-21 Inputs'!I19)</f>
        <v>17000</v>
      </c>
      <c r="E17" s="113"/>
      <c r="F17" s="128" t="str">
        <f t="shared" si="0"/>
        <v>Test duration (hours)</v>
      </c>
      <c r="G17" s="139">
        <f>IF(OR('TM-21 Inputs'!I19="",F13=""),"-",'TM-21 Inputs'!I19)</f>
        <v>17000</v>
      </c>
      <c r="H17" s="113"/>
      <c r="I17" s="128" t="str">
        <f t="shared" si="1"/>
        <v>Test duration (hours)</v>
      </c>
      <c r="J17" s="139">
        <f>IF(OR('TM-21 Inputs'!I19="",I13=""),"-",'TM-21 Inputs'!I19)</f>
        <v>17000</v>
      </c>
      <c r="K17" s="112"/>
      <c r="L17" s="143" t="s">
        <v>73</v>
      </c>
      <c r="M17" s="151">
        <f>IF(OR('TM-21 Projection'!L8="",'TM-21 Projection'!L8="N/A"),"-",'TM-21 Projection'!L8)</f>
        <v>9.4371339494180349E-7</v>
      </c>
      <c r="N17" s="112"/>
      <c r="O17" s="110"/>
    </row>
    <row r="18" spans="1:15" s="116" customFormat="1" ht="36" customHeight="1" x14ac:dyDescent="0.25">
      <c r="A18" s="109"/>
      <c r="B18" s="114"/>
      <c r="C18" s="129" t="s">
        <v>66</v>
      </c>
      <c r="D18" s="134" t="str">
        <f>IF(OR('TM-21 Inputs'!I19="",C13=""),"-",IF(SUM('Calculations - Case Temp 1'!E6:E25)=0,"-",CONCATENATE(TEXT(MIN('Calculations - Case Temp 1'!E6:E25),"#,##0")," - ",TEXT(MAX('Calculations - Case Temp 1'!E6:E25),"#,##0"))))</f>
        <v>8,000 - 17,000</v>
      </c>
      <c r="E18" s="115"/>
      <c r="F18" s="129" t="str">
        <f t="shared" si="0"/>
        <v>Test duration used for projection (hour to hour)</v>
      </c>
      <c r="G18" s="140" t="str">
        <f>IF(OR('TM-21 Inputs'!I19="",F13=""),"-",IF(SUM('Calculations - Case Temp 1'!E6:E25)=0,"-",CONCATENATE(TEXT(MIN('Calculations - Case Temp 1'!E6:E25),"#,##0")," - ",TEXT(MAX('Calculations - Case Temp 1'!E6:E25),"#,##0"))))</f>
        <v>8,000 - 17,000</v>
      </c>
      <c r="H18" s="115"/>
      <c r="I18" s="129" t="str">
        <f t="shared" si="1"/>
        <v>Test duration used for projection (hour to hour)</v>
      </c>
      <c r="J18" s="140" t="str">
        <f>IF(OR('TM-21 Inputs'!I19="",I13=""),"-",IF(SUM('Calculations - Case Temp 1'!E6:E25)=0,"-",CONCATENATE(TEXT(MIN('Calculations - Case Temp 1'!E6:E25),"#,##0")," - ",TEXT(MAX('Calculations - Case Temp 1'!E6:E25),"#,##0"))))</f>
        <v>8,000 - 17,000</v>
      </c>
      <c r="K18" s="112"/>
      <c r="L18" s="146" t="s">
        <v>74</v>
      </c>
      <c r="M18" s="155">
        <f>IF(OR('TM-21 Projection'!L9="",'TM-21 Projection'!L9="N/A"),"-",'TM-21 Projection'!L9)</f>
        <v>0.99526795618765529</v>
      </c>
      <c r="N18" s="112"/>
      <c r="O18" s="110"/>
    </row>
    <row r="19" spans="1:15" s="116" customFormat="1" ht="28.5" x14ac:dyDescent="0.2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f>IF(OR(M13&lt;0,M17&lt;0),"-",IF('TM-21 Projection'!L10="","-",'TM-21 Projection'!L10))</f>
        <v>103.00746889575666</v>
      </c>
      <c r="N19" s="112"/>
      <c r="O19" s="110"/>
    </row>
    <row r="20" spans="1:15" s="116" customFormat="1" x14ac:dyDescent="0.25">
      <c r="A20" s="109"/>
      <c r="B20" s="112"/>
      <c r="C20" s="128" t="s">
        <v>60</v>
      </c>
      <c r="D20" s="136">
        <f>IF('Product Inputs'!G8="","-",'Product Inputs'!G8)</f>
        <v>9.1922300951281085E-7</v>
      </c>
      <c r="E20" s="113"/>
      <c r="F20" s="128" t="str">
        <f t="shared" si="0"/>
        <v>α</v>
      </c>
      <c r="G20" s="136">
        <f>IF('Product Inputs'!J8="","-",'Product Inputs'!J8)</f>
        <v>9.4371339494180349E-7</v>
      </c>
      <c r="H20" s="113"/>
      <c r="I20" s="128" t="str">
        <f t="shared" si="1"/>
        <v>α</v>
      </c>
      <c r="J20" s="136">
        <f>IF('Product Inputs'!M8="","-",'Product Inputs'!M8)</f>
        <v>1.7392052351510254E-6</v>
      </c>
      <c r="K20" s="112"/>
      <c r="L20" s="142" t="s">
        <v>2</v>
      </c>
      <c r="M20" s="151">
        <f>IF(OR(M13&lt;0,M17&lt;0),"-",IF('TM-21 Projection'!L11="","-",'TM-21 Projection'!L11))</f>
        <v>1.2581936574055781E-6</v>
      </c>
      <c r="N20" s="112"/>
      <c r="O20" s="110"/>
    </row>
    <row r="21" spans="1:15" s="116" customFormat="1" ht="18.75" x14ac:dyDescent="0.25">
      <c r="A21" s="109"/>
      <c r="B21" s="112"/>
      <c r="C21" s="130" t="s">
        <v>61</v>
      </c>
      <c r="D21" s="137">
        <f>IF('Product Inputs'!G9="","-",'Product Inputs'!G9)</f>
        <v>0.99755310891785831</v>
      </c>
      <c r="E21" s="113"/>
      <c r="F21" s="130" t="str">
        <f t="shared" si="0"/>
        <v>B</v>
      </c>
      <c r="G21" s="137">
        <f>IF('Product Inputs'!J9="","-",'Product Inputs'!J9)</f>
        <v>0.99526795618765529</v>
      </c>
      <c r="H21" s="113"/>
      <c r="I21" s="130" t="str">
        <f t="shared" si="1"/>
        <v>B</v>
      </c>
      <c r="J21" s="137">
        <f>IF('Product Inputs'!M9="","-",'Product Inputs'!M9)</f>
        <v>0.99833745959000542</v>
      </c>
      <c r="K21" s="112"/>
      <c r="L21" s="146" t="s">
        <v>76</v>
      </c>
      <c r="M21" s="155">
        <f>IF('TM-21 Projection'!L12="","-",'TM-21 Projection'!L12)</f>
        <v>0.99640987746073573</v>
      </c>
      <c r="N21" s="112"/>
      <c r="O21" s="110"/>
    </row>
    <row r="22" spans="1:15" s="116" customFormat="1" ht="29.25" thickBot="1" x14ac:dyDescent="0.3">
      <c r="A22" s="109"/>
      <c r="B22" s="112"/>
      <c r="C22" s="131" t="str">
        <f>IF('TM-21 Inputs'!I35 = "", CONCATENATE("Reported LM",  IF('TM-21 Inputs'!I19="","(Dk) (hours)",CONCATENATE("(",ROUND('TM-21 Inputs'!I19/1000,0),"k) (hours)"))),CONCATENATE("Reported L",'TM-21 Inputs'!I35, IF('TM-21 Inputs'!I19="","(Dk) (hours)",CONCATENATE("(",ROUND('TM-21 Inputs'!I19/1000,0),"k) (hours)"))))</f>
        <v>Reported L80(17k) (hours)</v>
      </c>
      <c r="D22" s="138" t="str">
        <f>IF('Product Inputs'!G11="","-",'Product Inputs'!G11)</f>
        <v>&gt;102000</v>
      </c>
      <c r="E22" s="113"/>
      <c r="F22" s="131" t="str">
        <f>IF('TM-21 Inputs'!I35 = "", CONCATENATE("Reported LM",  IF('TM-21 Inputs'!I19="","(Dk) (hours)",CONCATENATE("(",ROUND('TM-21 Inputs'!I19/1000,0),"k) (hours)"))),CONCATENATE("Reported L",'TM-21 Inputs'!I35, IF('TM-21 Inputs'!I19="","(Dk) (hours)",CONCATENATE("(",ROUND('TM-21 Inputs'!I19/1000,0),"k) (hours)"))))</f>
        <v>Reported L80(17k) (hours)</v>
      </c>
      <c r="G22" s="138" t="str">
        <f>IF('Product Inputs'!J11="","-",'Product Inputs'!J11)</f>
        <v>&gt;102000</v>
      </c>
      <c r="H22" s="113"/>
      <c r="I22" s="131" t="str">
        <f>IF('TM-21 Inputs'!I35 = "", CONCATENATE("Reported LM",  IF('TM-21 Inputs'!I19="","(Dk) (hours)",CONCATENATE("(",ROUND('TM-21 Inputs'!I19/1000,0),"k) (hours)"))),CONCATENATE("Reported L",'TM-21 Inputs'!I35, IF('TM-21 Inputs'!I19="","(Dk) (hours)",CONCATENATE("(",ROUND('TM-21 Inputs'!I19/1000,0),"k) (hours)"))))</f>
        <v>Reported L80(17k) (hours)</v>
      </c>
      <c r="J22" s="138" t="str">
        <f>IF('Product Inputs'!M11="","-",'Product Inputs'!M11)</f>
        <v>&gt;102000</v>
      </c>
      <c r="K22" s="112"/>
      <c r="L22" s="141" t="s">
        <v>77</v>
      </c>
      <c r="M22" s="149">
        <f>IF('TM-21 Projection'!L13="","-",'TM-21 Projection'!L13)</f>
        <v>64.829999999999984</v>
      </c>
      <c r="N22" s="112"/>
      <c r="O22" s="110"/>
    </row>
    <row r="23" spans="1:15" s="116" customFormat="1" ht="18.75" x14ac:dyDescent="0.25">
      <c r="A23" s="109"/>
      <c r="B23" s="112"/>
      <c r="K23" s="112"/>
      <c r="L23" s="142" t="s">
        <v>78</v>
      </c>
      <c r="M23" s="157">
        <f>IF('TM-21 Projection'!L14="","-",'TM-21 Projection'!L14)</f>
        <v>337.97999999999996</v>
      </c>
      <c r="N23" s="112"/>
      <c r="O23" s="110"/>
    </row>
    <row r="24" spans="1:15" s="116" customFormat="1" ht="18.75" x14ac:dyDescent="0.25">
      <c r="A24" s="109"/>
      <c r="B24" s="112"/>
      <c r="C24" s="208"/>
      <c r="D24" s="208"/>
      <c r="E24" s="113"/>
      <c r="F24" s="208"/>
      <c r="G24" s="209"/>
      <c r="H24" s="113"/>
      <c r="I24" s="208"/>
      <c r="J24" s="209"/>
      <c r="K24" s="112"/>
      <c r="L24" s="147" t="s">
        <v>79</v>
      </c>
      <c r="M24" s="158">
        <f>IF(OR(M13&lt;0,M17&lt;0),"-",IF('TM-21 Projection'!L15="","-",'TM-21 Projection'!L15))</f>
        <v>9.276537111197345E-7</v>
      </c>
      <c r="N24" s="112"/>
      <c r="O24" s="110"/>
    </row>
    <row r="25" spans="1:15" s="116" customFormat="1" ht="28.5" customHeight="1" thickBot="1" x14ac:dyDescent="0.3">
      <c r="A25" s="109"/>
      <c r="B25" s="112"/>
      <c r="C25" s="285" t="str">
        <f>IF(OR(M13&lt;0,M17&lt;0),"One or more of the tests resulted in negative L70 values. Please refer to sections 5.2.5 and 6.4 of IES TM-21-11 for instructions on how to estimate the reported lumen maintenance life (L70).","")</f>
        <v/>
      </c>
      <c r="D25" s="285"/>
      <c r="E25" s="285"/>
      <c r="F25" s="285"/>
      <c r="G25" s="285"/>
      <c r="H25" s="285"/>
      <c r="I25" s="285"/>
      <c r="J25" s="285"/>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L80(17k) at 64.83⁰C (hours)</v>
      </c>
      <c r="M25" s="159" t="str">
        <f>IF('TM-21 Inputs'!I42="","-",'TM-21 Inputs'!I42)</f>
        <v>&gt;102000</v>
      </c>
      <c r="N25" s="112"/>
      <c r="O25" s="110"/>
    </row>
    <row r="26" spans="1:15" ht="30.75" customHeight="1" x14ac:dyDescent="0.25">
      <c r="A26" s="109"/>
      <c r="B26" s="73"/>
      <c r="C26" s="73"/>
      <c r="D26" s="73"/>
      <c r="E26" s="73"/>
      <c r="F26" s="73"/>
      <c r="G26" s="73"/>
      <c r="H26" s="73"/>
      <c r="I26" s="73"/>
      <c r="J26" s="73"/>
      <c r="K26" s="73"/>
      <c r="N26" s="73"/>
      <c r="O26" s="110"/>
    </row>
    <row r="27" spans="1:15" ht="9" customHeight="1" x14ac:dyDescent="0.25">
      <c r="A27" s="109"/>
      <c r="B27" s="73"/>
      <c r="C27" s="73"/>
      <c r="D27" s="73"/>
      <c r="E27" s="73"/>
      <c r="F27" s="73"/>
      <c r="G27" s="73"/>
      <c r="H27" s="73"/>
      <c r="I27" s="73"/>
      <c r="J27" s="73"/>
      <c r="K27" s="73"/>
      <c r="L27" s="73"/>
      <c r="M27" s="73"/>
      <c r="N27" s="73"/>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17"/>
    </row>
    <row r="30" spans="1:15" ht="30.75" customHeight="1" thickBot="1" x14ac:dyDescent="0.3">
      <c r="D30"/>
      <c r="F30" s="286" t="s">
        <v>98</v>
      </c>
      <c r="G30" s="287"/>
      <c r="H30" s="288"/>
      <c r="I30" s="289"/>
      <c r="J30" s="295" t="s">
        <v>102</v>
      </c>
      <c r="K30" s="249"/>
      <c r="L30" s="249"/>
      <c r="M30" s="250"/>
    </row>
    <row r="31" spans="1:15" ht="31.5" customHeight="1" thickBot="1" x14ac:dyDescent="0.3">
      <c r="F31" s="286" t="s">
        <v>99</v>
      </c>
      <c r="G31" s="287"/>
      <c r="H31" s="288"/>
      <c r="I31" s="289"/>
      <c r="J31" s="251"/>
      <c r="K31" s="252"/>
      <c r="L31" s="252"/>
      <c r="M31" s="253"/>
    </row>
    <row r="32" spans="1:15" ht="15.75" thickBot="1" x14ac:dyDescent="0.3">
      <c r="F32" s="290" t="s">
        <v>100</v>
      </c>
      <c r="G32" s="291"/>
      <c r="H32" s="288"/>
      <c r="I32" s="289"/>
      <c r="J32" s="254"/>
      <c r="K32" s="255"/>
      <c r="L32" s="255"/>
      <c r="M32" s="256"/>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1.2649999999999999" right="0.7" top="0.75" bottom="0.75" header="0.3" footer="0.3"/>
  <pageSetup paperSize="9" scale="6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baseColWidth="10" defaultColWidth="9.140625"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baseColWidth="10" defaultColWidth="9.140625"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2" t="str">
        <f>IF('TM-21 Inputs'!I21="","Insert Case Temperature 1",CONCATENATE("Test Data for ",'TM-21 Inputs'!I21,"⁰C Case Temperature"))</f>
        <v>Test Data for 55⁰C Case Temperature</v>
      </c>
      <c r="D4" s="294"/>
      <c r="E4" s="294"/>
      <c r="F4" s="294"/>
      <c r="G4" s="294"/>
      <c r="H4" s="294"/>
      <c r="I4" s="294"/>
      <c r="J4" s="293"/>
    </row>
    <row r="5" spans="3:13" ht="60" customHeight="1" x14ac:dyDescent="0.25">
      <c r="C5" s="204" t="s">
        <v>96</v>
      </c>
      <c r="D5" s="30" t="s">
        <v>95</v>
      </c>
      <c r="E5" s="31" t="s">
        <v>3</v>
      </c>
      <c r="F5" s="32" t="s">
        <v>4</v>
      </c>
      <c r="G5" s="32" t="s">
        <v>7</v>
      </c>
      <c r="H5" s="32" t="s">
        <v>5</v>
      </c>
      <c r="I5" s="32" t="s">
        <v>6</v>
      </c>
      <c r="J5" s="33" t="s">
        <v>1</v>
      </c>
    </row>
    <row r="6" spans="3:13" x14ac:dyDescent="0.25">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x14ac:dyDescent="0.25">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x14ac:dyDescent="0.25">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x14ac:dyDescent="0.25">
      <c r="C10" s="5" t="str">
        <f t="shared" si="5"/>
        <v/>
      </c>
      <c r="D10" s="5" t="str">
        <f t="shared" si="0"/>
        <v/>
      </c>
      <c r="E10" s="8" t="str">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
      </c>
      <c r="F10" s="3" t="str">
        <f>IF(E10="","",'TM-21 Inputs'!L14)</f>
        <v/>
      </c>
      <c r="G10" s="11" t="str">
        <f t="shared" si="1"/>
        <v/>
      </c>
      <c r="H10" s="14" t="str">
        <f t="shared" si="2"/>
        <v/>
      </c>
      <c r="I10" s="18" t="str">
        <f t="shared" si="3"/>
        <v/>
      </c>
      <c r="J10" s="19" t="str">
        <f t="shared" si="4"/>
        <v/>
      </c>
    </row>
    <row r="11" spans="3:13" x14ac:dyDescent="0.25">
      <c r="C11" s="5" t="str">
        <f t="shared" si="5"/>
        <v/>
      </c>
      <c r="D11" s="5" t="str">
        <f t="shared" si="0"/>
        <v/>
      </c>
      <c r="E11" s="8" t="str">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
      </c>
      <c r="F11" s="3" t="str">
        <f>IF(E11="","",'TM-21 Inputs'!L15)</f>
        <v/>
      </c>
      <c r="G11" s="11" t="str">
        <f t="shared" si="1"/>
        <v/>
      </c>
      <c r="H11" s="14" t="str">
        <f t="shared" si="2"/>
        <v/>
      </c>
      <c r="I11" s="18" t="str">
        <f t="shared" si="3"/>
        <v/>
      </c>
      <c r="J11" s="19" t="str">
        <f t="shared" si="4"/>
        <v/>
      </c>
    </row>
    <row r="12" spans="3:13" x14ac:dyDescent="0.25">
      <c r="C12" s="5" t="str">
        <f t="shared" si="5"/>
        <v/>
      </c>
      <c r="D12" s="5" t="str">
        <f t="shared" si="0"/>
        <v/>
      </c>
      <c r="E12" s="8" t="str">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
      </c>
      <c r="F12" s="3" t="str">
        <f>IF(E12="","",'TM-21 Inputs'!L16)</f>
        <v/>
      </c>
      <c r="G12" s="11" t="str">
        <f t="shared" si="1"/>
        <v/>
      </c>
      <c r="H12" s="14" t="str">
        <f t="shared" si="2"/>
        <v/>
      </c>
      <c r="I12" s="18" t="str">
        <f t="shared" si="3"/>
        <v/>
      </c>
      <c r="J12" s="19" t="str">
        <f t="shared" si="4"/>
        <v/>
      </c>
    </row>
    <row r="13" spans="3:13" x14ac:dyDescent="0.25">
      <c r="C13" s="5" t="str">
        <f t="shared" si="5"/>
        <v/>
      </c>
      <c r="D13" s="5" t="str">
        <f t="shared" si="0"/>
        <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0.99060000000000004</v>
      </c>
      <c r="G13" s="11">
        <f t="shared" si="1"/>
        <v>-9.444458827999689E-3</v>
      </c>
      <c r="H13" s="14">
        <f t="shared" si="2"/>
        <v>-75.555670623997514</v>
      </c>
      <c r="I13" s="18">
        <f t="shared" si="3"/>
        <v>64000000</v>
      </c>
      <c r="J13" s="19">
        <f t="shared" si="4"/>
        <v>-75.555670623997514</v>
      </c>
    </row>
    <row r="14" spans="3:13" x14ac:dyDescent="0.25">
      <c r="C14" s="5" t="str">
        <f t="shared" si="5"/>
        <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0.98939999999999995</v>
      </c>
      <c r="G14" s="11">
        <f t="shared" si="1"/>
        <v>-1.0656580188528888E-2</v>
      </c>
      <c r="H14" s="14">
        <f t="shared" si="2"/>
        <v>-95.909221696759985</v>
      </c>
      <c r="I14" s="18">
        <f t="shared" si="3"/>
        <v>81000000</v>
      </c>
      <c r="J14" s="19">
        <f t="shared" si="4"/>
        <v>-95.909221696759985</v>
      </c>
    </row>
    <row r="15" spans="3:13" x14ac:dyDescent="0.25">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10000</v>
      </c>
      <c r="F15" s="3">
        <f>IF(E15="","",'TM-21 Inputs'!L19)</f>
        <v>0.98829999999999996</v>
      </c>
      <c r="G15" s="11">
        <f t="shared" si="1"/>
        <v>-1.1768983599998889E-2</v>
      </c>
      <c r="H15" s="14">
        <f t="shared" si="2"/>
        <v>-117.68983599998889</v>
      </c>
      <c r="I15" s="18">
        <f t="shared" si="3"/>
        <v>100000000</v>
      </c>
      <c r="J15" s="19">
        <f t="shared" si="4"/>
        <v>-117.68983599998889</v>
      </c>
    </row>
    <row r="16" spans="3:13" x14ac:dyDescent="0.25">
      <c r="C16" s="5">
        <f t="shared" si="5"/>
        <v>0</v>
      </c>
      <c r="D16" s="5">
        <f t="shared" si="0"/>
        <v>1000</v>
      </c>
      <c r="E16" s="8">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11000</v>
      </c>
      <c r="F16" s="3">
        <f>IF(E16="","",'TM-21 Inputs'!L20)</f>
        <v>0.98750000000000004</v>
      </c>
      <c r="G16" s="11">
        <f t="shared" si="1"/>
        <v>-1.2578782206860073E-2</v>
      </c>
      <c r="H16" s="14">
        <f t="shared" si="2"/>
        <v>-138.36660427546079</v>
      </c>
      <c r="I16" s="18">
        <f t="shared" si="3"/>
        <v>121000000</v>
      </c>
      <c r="J16" s="19">
        <f t="shared" si="4"/>
        <v>-138.36660427546079</v>
      </c>
    </row>
    <row r="17" spans="3:10" x14ac:dyDescent="0.25">
      <c r="C17" s="5">
        <f t="shared" si="5"/>
        <v>0</v>
      </c>
      <c r="D17" s="5">
        <f t="shared" si="0"/>
        <v>1000</v>
      </c>
      <c r="E17" s="8">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12000</v>
      </c>
      <c r="F17" s="3">
        <f>IF(E17="","",'TM-21 Inputs'!L21)</f>
        <v>0.98640000000000005</v>
      </c>
      <c r="G17" s="11">
        <f t="shared" si="1"/>
        <v>-1.3693327132002454E-2</v>
      </c>
      <c r="H17" s="14">
        <f t="shared" si="2"/>
        <v>-164.31992558402945</v>
      </c>
      <c r="I17" s="18">
        <f t="shared" si="3"/>
        <v>144000000</v>
      </c>
      <c r="J17" s="19">
        <f t="shared" si="4"/>
        <v>-164.31992558402945</v>
      </c>
    </row>
    <row r="18" spans="3:10" x14ac:dyDescent="0.25">
      <c r="C18" s="5">
        <f t="shared" si="5"/>
        <v>0</v>
      </c>
      <c r="D18" s="5">
        <f t="shared" si="0"/>
        <v>1000</v>
      </c>
      <c r="E18" s="8">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13000</v>
      </c>
      <c r="F18" s="3">
        <f>IF(E18="","",'TM-21 Inputs'!L22)</f>
        <v>0.98550000000000004</v>
      </c>
      <c r="G18" s="11">
        <f t="shared" si="1"/>
        <v>-1.4606152389362114E-2</v>
      </c>
      <c r="H18" s="14">
        <f t="shared" si="2"/>
        <v>-189.8799810617075</v>
      </c>
      <c r="I18" s="18">
        <f t="shared" si="3"/>
        <v>169000000</v>
      </c>
      <c r="J18" s="19">
        <f t="shared" si="4"/>
        <v>-189.8799810617075</v>
      </c>
    </row>
    <row r="19" spans="3:10" x14ac:dyDescent="0.25">
      <c r="C19" s="5">
        <f t="shared" si="5"/>
        <v>0</v>
      </c>
      <c r="D19" s="5">
        <f t="shared" si="0"/>
        <v>1000</v>
      </c>
      <c r="E19" s="8">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14000</v>
      </c>
      <c r="F19" s="3">
        <f>IF(E19="","",'TM-21 Inputs'!L23)</f>
        <v>0.98460000000000003</v>
      </c>
      <c r="G19" s="11">
        <f t="shared" si="1"/>
        <v>-1.5519811658036807E-2</v>
      </c>
      <c r="H19" s="14">
        <f t="shared" si="2"/>
        <v>-217.2773632125153</v>
      </c>
      <c r="I19" s="18">
        <f t="shared" si="3"/>
        <v>196000000</v>
      </c>
      <c r="J19" s="19">
        <f t="shared" si="4"/>
        <v>-217.2773632125153</v>
      </c>
    </row>
    <row r="20" spans="3:10" x14ac:dyDescent="0.25">
      <c r="C20" s="5">
        <f t="shared" si="5"/>
        <v>0</v>
      </c>
      <c r="D20" s="5">
        <f t="shared" si="0"/>
        <v>1000</v>
      </c>
      <c r="E20" s="8">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15000</v>
      </c>
      <c r="F20" s="3">
        <f>IF(E20="","",'TM-21 Inputs'!L24)</f>
        <v>0.98370000000000002</v>
      </c>
      <c r="G20" s="11">
        <f t="shared" si="1"/>
        <v>-1.6434306463424773E-2</v>
      </c>
      <c r="H20" s="14">
        <f t="shared" si="2"/>
        <v>-246.5145969513716</v>
      </c>
      <c r="I20" s="18">
        <f t="shared" si="3"/>
        <v>225000000</v>
      </c>
      <c r="J20" s="19">
        <f t="shared" si="4"/>
        <v>-246.5145969513716</v>
      </c>
    </row>
    <row r="21" spans="3:10" x14ac:dyDescent="0.25">
      <c r="C21" s="5">
        <f t="shared" si="5"/>
        <v>0</v>
      </c>
      <c r="D21" s="5">
        <f t="shared" si="0"/>
        <v>1000</v>
      </c>
      <c r="E21" s="8">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16000</v>
      </c>
      <c r="F21" s="3">
        <f>IF(E21="","",'TM-21 Inputs'!L25)</f>
        <v>0.98309999999999997</v>
      </c>
      <c r="G21" s="11">
        <f t="shared" si="1"/>
        <v>-1.7044434609258474E-2</v>
      </c>
      <c r="H21" s="14">
        <f t="shared" si="2"/>
        <v>-272.71095374813558</v>
      </c>
      <c r="I21" s="18">
        <f t="shared" si="3"/>
        <v>256000000</v>
      </c>
      <c r="J21" s="19">
        <f t="shared" si="4"/>
        <v>-272.71095374813558</v>
      </c>
    </row>
    <row r="22" spans="3:10" x14ac:dyDescent="0.25">
      <c r="C22" s="5">
        <f t="shared" si="5"/>
        <v>0</v>
      </c>
      <c r="D22" s="5">
        <f t="shared" si="0"/>
        <v>1000</v>
      </c>
      <c r="E22" s="8">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17000</v>
      </c>
      <c r="F22" s="3">
        <f>IF(E22="","",'TM-21 Inputs'!L26)</f>
        <v>0.98250000000000004</v>
      </c>
      <c r="G22" s="11">
        <f t="shared" si="1"/>
        <v>-1.765493523872071E-2</v>
      </c>
      <c r="H22" s="14">
        <f t="shared" si="2"/>
        <v>-300.13389905825204</v>
      </c>
      <c r="I22" s="18">
        <f t="shared" si="3"/>
        <v>289000000</v>
      </c>
      <c r="J22" s="19">
        <f t="shared" si="4"/>
        <v>-300.13389905825204</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SUM(F6:F25)</f>
        <v>9.8615999999999993</v>
      </c>
      <c r="G26" s="25">
        <f t="shared" si="6"/>
        <v>-0.1394017723141929</v>
      </c>
      <c r="H26" s="26">
        <f t="shared" si="6"/>
        <v>-1818.3580522122184</v>
      </c>
      <c r="I26" s="27">
        <f t="shared" si="6"/>
        <v>1645000000</v>
      </c>
      <c r="J26" s="28">
        <f t="shared" si="6"/>
        <v>-1818.3580522122184</v>
      </c>
    </row>
    <row r="27" spans="3:10" ht="15.75" thickBot="1" x14ac:dyDescent="0.3"/>
    <row r="28" spans="3:10" ht="15.75" x14ac:dyDescent="0.25">
      <c r="E28" s="292" t="s">
        <v>9</v>
      </c>
      <c r="F28" s="293"/>
    </row>
    <row r="29" spans="3:10" x14ac:dyDescent="0.25">
      <c r="E29" s="34" t="s">
        <v>15</v>
      </c>
      <c r="F29" s="35">
        <f>((COUNTIF(E6:E25,"&gt;"&amp;0)*H26-(E26*G26))/((COUNTIF(E6:E25,"&gt;"&amp;0)*I26)-(E26^2)))</f>
        <v>-9.1922300951281085E-7</v>
      </c>
    </row>
    <row r="30" spans="3:10" x14ac:dyDescent="0.25">
      <c r="E30" s="36" t="s">
        <v>16</v>
      </c>
      <c r="F30" s="37">
        <f>(G26-(F29*E26))/COUNTIF(E6:E25,"&gt;"&amp;0)</f>
        <v>-2.4498896125091539E-3</v>
      </c>
    </row>
    <row r="31" spans="3:10" x14ac:dyDescent="0.25">
      <c r="E31" s="38" t="s">
        <v>17</v>
      </c>
      <c r="F31" s="37">
        <f>-F29</f>
        <v>9.1922300951281085E-7</v>
      </c>
    </row>
    <row r="32" spans="3:10" x14ac:dyDescent="0.25">
      <c r="E32" s="36" t="s">
        <v>18</v>
      </c>
      <c r="F32" s="37">
        <f>EXP(F30)</f>
        <v>0.99755310891785831</v>
      </c>
    </row>
    <row r="33" spans="5:6" ht="30" customHeight="1" x14ac:dyDescent="0.25">
      <c r="E33" s="39" t="str">
        <f>CONCATENATE("Calculated L",'TM-21 Inputs'!I35," (hrs):")</f>
        <v>Calculated L80 (hrs):</v>
      </c>
      <c r="F33" s="40">
        <f>ROUND((LN(F32/('TM-21 Inputs'!$I$35/100))/F31),-3)</f>
        <v>240000</v>
      </c>
    </row>
    <row r="34" spans="5:6" ht="30.75" thickBot="1" x14ac:dyDescent="0.3">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baseColWidth="10" defaultColWidth="9.140625"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Inputs'!I22="","Insert Case Temperature 2",CONCATENATE("Test Data for ",'TM-21 Inputs'!I22,"⁰C Case Temperature"))</f>
        <v>Test Data for 85⁰C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x14ac:dyDescent="0.25">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x14ac:dyDescent="0.25">
      <c r="C10" s="5" t="str">
        <f t="shared" si="5"/>
        <v/>
      </c>
      <c r="D10" s="5" t="str">
        <f t="shared" si="0"/>
        <v/>
      </c>
      <c r="E10" s="211" t="str">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
      </c>
      <c r="F10" s="3" t="str">
        <f>IF(E10="","",'TM-21 Inputs'!O14)</f>
        <v/>
      </c>
      <c r="G10" s="11" t="str">
        <f t="shared" si="1"/>
        <v/>
      </c>
      <c r="H10" s="14" t="str">
        <f t="shared" si="2"/>
        <v/>
      </c>
      <c r="I10" s="18" t="str">
        <f t="shared" si="3"/>
        <v/>
      </c>
      <c r="J10" s="19" t="str">
        <f t="shared" si="4"/>
        <v/>
      </c>
    </row>
    <row r="11" spans="3:10" x14ac:dyDescent="0.25">
      <c r="C11" s="5" t="str">
        <f t="shared" si="5"/>
        <v/>
      </c>
      <c r="D11" s="5" t="str">
        <f t="shared" si="0"/>
        <v/>
      </c>
      <c r="E11" s="211" t="str">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
      </c>
      <c r="F11" s="3" t="str">
        <f>IF(E11="","",'TM-21 Inputs'!O15)</f>
        <v/>
      </c>
      <c r="G11" s="11" t="str">
        <f t="shared" si="1"/>
        <v/>
      </c>
      <c r="H11" s="14" t="str">
        <f t="shared" si="2"/>
        <v/>
      </c>
      <c r="I11" s="18" t="str">
        <f t="shared" si="3"/>
        <v/>
      </c>
      <c r="J11" s="19" t="str">
        <f t="shared" si="4"/>
        <v/>
      </c>
    </row>
    <row r="12" spans="3:10" x14ac:dyDescent="0.25">
      <c r="C12" s="5" t="str">
        <f t="shared" si="5"/>
        <v/>
      </c>
      <c r="D12" s="5" t="str">
        <f t="shared" si="0"/>
        <v/>
      </c>
      <c r="E12" s="211" t="str">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
      </c>
      <c r="F12" s="3" t="str">
        <f>IF(E12="","",'TM-21 Inputs'!O16)</f>
        <v/>
      </c>
      <c r="G12" s="11" t="str">
        <f t="shared" si="1"/>
        <v/>
      </c>
      <c r="H12" s="14" t="str">
        <f t="shared" si="2"/>
        <v/>
      </c>
      <c r="I12" s="18" t="str">
        <f t="shared" si="3"/>
        <v/>
      </c>
      <c r="J12" s="19" t="str">
        <f t="shared" si="4"/>
        <v/>
      </c>
    </row>
    <row r="13" spans="3:10" x14ac:dyDescent="0.25">
      <c r="C13" s="5" t="str">
        <f t="shared" si="5"/>
        <v/>
      </c>
      <c r="D13" s="5" t="str">
        <f t="shared" si="0"/>
        <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0.98839999999999995</v>
      </c>
      <c r="G13" s="11">
        <f t="shared" si="1"/>
        <v>-1.16678048676821E-2</v>
      </c>
      <c r="H13" s="14">
        <f t="shared" si="2"/>
        <v>-93.342438941456805</v>
      </c>
      <c r="I13" s="18">
        <f t="shared" si="3"/>
        <v>64000000</v>
      </c>
      <c r="J13" s="19">
        <f t="shared" si="4"/>
        <v>-93.342438941456805</v>
      </c>
    </row>
    <row r="14" spans="3:10" x14ac:dyDescent="0.25">
      <c r="C14" s="5" t="str">
        <f t="shared" si="5"/>
        <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0.98699999999999999</v>
      </c>
      <c r="G14" s="11">
        <f t="shared" si="1"/>
        <v>-1.3085239548655481E-2</v>
      </c>
      <c r="H14" s="14">
        <f t="shared" si="2"/>
        <v>-117.76715593789933</v>
      </c>
      <c r="I14" s="18">
        <f t="shared" si="3"/>
        <v>81000000</v>
      </c>
      <c r="J14" s="19">
        <f t="shared" si="4"/>
        <v>-117.76715593789933</v>
      </c>
    </row>
    <row r="15" spans="3:10" x14ac:dyDescent="0.25">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10000</v>
      </c>
      <c r="F15" s="3">
        <f>IF(E15="","",'TM-21 Inputs'!O19)</f>
        <v>0.98560000000000003</v>
      </c>
      <c r="G15" s="11">
        <f t="shared" si="1"/>
        <v>-1.4504686202881688E-2</v>
      </c>
      <c r="H15" s="14">
        <f t="shared" si="2"/>
        <v>-145.04686202881689</v>
      </c>
      <c r="I15" s="18">
        <f t="shared" si="3"/>
        <v>100000000</v>
      </c>
      <c r="J15" s="19">
        <f t="shared" si="4"/>
        <v>-145.04686202881689</v>
      </c>
    </row>
    <row r="16" spans="3:10" x14ac:dyDescent="0.25">
      <c r="C16" s="5">
        <f t="shared" si="5"/>
        <v>0</v>
      </c>
      <c r="D16" s="5">
        <f t="shared" si="0"/>
        <v>1000</v>
      </c>
      <c r="E16" s="211">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11000</v>
      </c>
      <c r="F16" s="3">
        <f>IF(E16="","",'TM-21 Inputs'!O20)</f>
        <v>0.98470000000000002</v>
      </c>
      <c r="G16" s="11">
        <f t="shared" si="1"/>
        <v>-1.5418252728380644E-2</v>
      </c>
      <c r="H16" s="14">
        <f t="shared" si="2"/>
        <v>-169.6007800121871</v>
      </c>
      <c r="I16" s="18">
        <f t="shared" si="3"/>
        <v>121000000</v>
      </c>
      <c r="J16" s="19">
        <f t="shared" si="4"/>
        <v>-169.6007800121871</v>
      </c>
    </row>
    <row r="17" spans="3:10" x14ac:dyDescent="0.25">
      <c r="C17" s="5">
        <f t="shared" si="5"/>
        <v>0</v>
      </c>
      <c r="D17" s="5">
        <f t="shared" si="0"/>
        <v>1000</v>
      </c>
      <c r="E17" s="211">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12000</v>
      </c>
      <c r="F17" s="3">
        <f>IF(E17="","",'TM-21 Inputs'!O21)</f>
        <v>0.98380000000000001</v>
      </c>
      <c r="G17" s="11">
        <f t="shared" si="1"/>
        <v>-1.633265462089761E-2</v>
      </c>
      <c r="H17" s="14">
        <f t="shared" si="2"/>
        <v>-195.99185545077131</v>
      </c>
      <c r="I17" s="18">
        <f t="shared" si="3"/>
        <v>144000000</v>
      </c>
      <c r="J17" s="19">
        <f t="shared" si="4"/>
        <v>-195.99185545077131</v>
      </c>
    </row>
    <row r="18" spans="3:10" x14ac:dyDescent="0.25">
      <c r="C18" s="5">
        <f t="shared" si="5"/>
        <v>0</v>
      </c>
      <c r="D18" s="5">
        <f t="shared" si="0"/>
        <v>1000</v>
      </c>
      <c r="E18" s="211">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13000</v>
      </c>
      <c r="F18" s="3">
        <f>IF(E18="","",'TM-21 Inputs'!O22)</f>
        <v>0.9829</v>
      </c>
      <c r="G18" s="11">
        <f t="shared" si="1"/>
        <v>-1.7247893409553391E-2</v>
      </c>
      <c r="H18" s="14">
        <f t="shared" si="2"/>
        <v>-224.2226143241941</v>
      </c>
      <c r="I18" s="18">
        <f t="shared" si="3"/>
        <v>169000000</v>
      </c>
      <c r="J18" s="19">
        <f t="shared" si="4"/>
        <v>-224.2226143241941</v>
      </c>
    </row>
    <row r="19" spans="3:10" x14ac:dyDescent="0.25">
      <c r="C19" s="5">
        <f t="shared" si="5"/>
        <v>0</v>
      </c>
      <c r="D19" s="5">
        <f t="shared" si="0"/>
        <v>1000</v>
      </c>
      <c r="E19" s="211">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14000</v>
      </c>
      <c r="F19" s="3">
        <f>IF(E19="","",'TM-21 Inputs'!O23)</f>
        <v>0.98199999999999998</v>
      </c>
      <c r="G19" s="11">
        <f t="shared" si="1"/>
        <v>-1.816397062767118E-2</v>
      </c>
      <c r="H19" s="14">
        <f t="shared" si="2"/>
        <v>-254.29558878739653</v>
      </c>
      <c r="I19" s="18">
        <f t="shared" si="3"/>
        <v>196000000</v>
      </c>
      <c r="J19" s="19">
        <f t="shared" si="4"/>
        <v>-254.29558878739653</v>
      </c>
    </row>
    <row r="20" spans="3:10" x14ac:dyDescent="0.25">
      <c r="C20" s="5">
        <f t="shared" si="5"/>
        <v>0</v>
      </c>
      <c r="D20" s="5">
        <f t="shared" si="0"/>
        <v>1000</v>
      </c>
      <c r="E20" s="211">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15000</v>
      </c>
      <c r="F20" s="3">
        <f>IF(E20="","",'TM-21 Inputs'!O24)</f>
        <v>0.98119999999999996</v>
      </c>
      <c r="G20" s="11">
        <f t="shared" si="1"/>
        <v>-1.8978966597802856E-2</v>
      </c>
      <c r="H20" s="14">
        <f t="shared" si="2"/>
        <v>-284.68449896704283</v>
      </c>
      <c r="I20" s="18">
        <f t="shared" si="3"/>
        <v>225000000</v>
      </c>
      <c r="J20" s="19">
        <f t="shared" si="4"/>
        <v>-284.68449896704283</v>
      </c>
    </row>
    <row r="21" spans="3:10" x14ac:dyDescent="0.25">
      <c r="C21" s="5">
        <f t="shared" si="5"/>
        <v>0</v>
      </c>
      <c r="D21" s="5">
        <f t="shared" si="0"/>
        <v>1000</v>
      </c>
      <c r="E21" s="211">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16000</v>
      </c>
      <c r="F21" s="3">
        <f>IF(E21="","",'TM-21 Inputs'!O25)</f>
        <v>0.98060000000000003</v>
      </c>
      <c r="G21" s="11">
        <f t="shared" si="1"/>
        <v>-1.9590649765004148E-2</v>
      </c>
      <c r="H21" s="14">
        <f t="shared" si="2"/>
        <v>-313.45039624006637</v>
      </c>
      <c r="I21" s="18">
        <f t="shared" si="3"/>
        <v>256000000</v>
      </c>
      <c r="J21" s="19">
        <f t="shared" si="4"/>
        <v>-313.45039624006637</v>
      </c>
    </row>
    <row r="22" spans="3:10" x14ac:dyDescent="0.25">
      <c r="C22" s="5">
        <f t="shared" si="5"/>
        <v>0</v>
      </c>
      <c r="D22" s="5">
        <f t="shared" si="0"/>
        <v>1000</v>
      </c>
      <c r="E22" s="211">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17000</v>
      </c>
      <c r="F22" s="3">
        <f>IF(E22="","",'TM-21 Inputs'!O26)</f>
        <v>0.9798</v>
      </c>
      <c r="G22" s="11">
        <f t="shared" si="1"/>
        <v>-2.040680977766262E-2</v>
      </c>
      <c r="H22" s="14">
        <f t="shared" si="2"/>
        <v>-346.91576622026452</v>
      </c>
      <c r="I22" s="18">
        <f t="shared" si="3"/>
        <v>289000000</v>
      </c>
      <c r="J22" s="19">
        <f t="shared" si="4"/>
        <v>-346.91576622026452</v>
      </c>
    </row>
    <row r="23" spans="3:10" x14ac:dyDescent="0.25">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F26" si="6">SUM(E6:E25)</f>
        <v>125000</v>
      </c>
      <c r="F26" s="24">
        <f t="shared" si="6"/>
        <v>9.8360000000000021</v>
      </c>
      <c r="G26" s="25">
        <f>SUM(G6:G25)</f>
        <v>-0.16539692814619175</v>
      </c>
      <c r="H26" s="26">
        <f>SUM(H6:H25)</f>
        <v>-2145.3179569100957</v>
      </c>
      <c r="I26" s="27">
        <f>SUM(I6:I25)</f>
        <v>1645000000</v>
      </c>
      <c r="J26" s="28">
        <f>SUM(J6:J25)</f>
        <v>-2145.3179569100957</v>
      </c>
    </row>
    <row r="27" spans="3:10" ht="15.75" thickBot="1" x14ac:dyDescent="0.3"/>
    <row r="28" spans="3:10" ht="15.75" x14ac:dyDescent="0.25">
      <c r="E28" s="292" t="s">
        <v>9</v>
      </c>
      <c r="F28" s="293"/>
    </row>
    <row r="29" spans="3:10" x14ac:dyDescent="0.25">
      <c r="E29" s="34" t="s">
        <v>15</v>
      </c>
      <c r="F29" s="35">
        <f>IF('TM-21 Inputs'!I22="","",((COUNTIF(E6:E25,"&gt;"&amp;0)*H26-(E26*G26))/((COUNTIF(E6:E25,"&gt;"&amp;0)*I26)-(E26^2))))</f>
        <v>-9.4371339494180349E-7</v>
      </c>
    </row>
    <row r="30" spans="3:10" x14ac:dyDescent="0.25">
      <c r="E30" s="36" t="s">
        <v>16</v>
      </c>
      <c r="F30" s="37">
        <f>IF('TM-21 Inputs'!I22="","",(G26-(F29*E26))/COUNTIF(E6:E25,"&gt;"&amp;0))</f>
        <v>-4.7432753778466315E-3</v>
      </c>
    </row>
    <row r="31" spans="3:10" x14ac:dyDescent="0.25">
      <c r="E31" s="38" t="s">
        <v>17</v>
      </c>
      <c r="F31" s="37">
        <f>IF('TM-21 Inputs'!I22="","",-F29)</f>
        <v>9.4371339494180349E-7</v>
      </c>
    </row>
    <row r="32" spans="3:10" x14ac:dyDescent="0.25">
      <c r="E32" s="36" t="s">
        <v>18</v>
      </c>
      <c r="F32" s="37">
        <f>IF('TM-21 Inputs'!I22="","",EXP(F30))</f>
        <v>0.99526795618765529</v>
      </c>
    </row>
    <row r="33" spans="5:6" ht="30" customHeight="1" x14ac:dyDescent="0.25">
      <c r="E33" s="39" t="str">
        <f>CONCATENATE("Calculated L",'TM-21 Inputs'!I35," (hrs):")</f>
        <v>Calculated L80 (hrs):</v>
      </c>
      <c r="F33" s="40">
        <f>IF('TM-21 Inputs'!I22="","",ROUND((LN(F32/('TM-21 Inputs'!$I$35/100))/F31),-3))</f>
        <v>231000</v>
      </c>
    </row>
    <row r="34" spans="5:6" ht="30.75" thickBot="1" x14ac:dyDescent="0.3">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baseColWidth="10" defaultColWidth="9.140625"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Inputs'!I23="","Insert Case Temperature 3",CONCATENATE("Test Data for ",'TM-21 Inputs'!I23,"⁰C Case Temperature"))</f>
        <v>Test Data for 105⁰C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0.9849</v>
      </c>
      <c r="G13" s="11">
        <f t="shared" si="1"/>
        <v>-1.5215165806480377E-2</v>
      </c>
      <c r="H13" s="14">
        <f t="shared" si="2"/>
        <v>-121.72132645184301</v>
      </c>
      <c r="I13" s="18">
        <f t="shared" si="3"/>
        <v>64000000</v>
      </c>
      <c r="J13" s="19">
        <f t="shared" si="4"/>
        <v>-121.72132645184301</v>
      </c>
    </row>
    <row r="14" spans="3:10" x14ac:dyDescent="0.25">
      <c r="C14" s="5" t="str">
        <f t="shared" si="5"/>
        <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0.98299999999999998</v>
      </c>
      <c r="G14" s="11">
        <f t="shared" si="1"/>
        <v>-1.7146158834970514E-2</v>
      </c>
      <c r="H14" s="14">
        <f t="shared" si="2"/>
        <v>-154.31542951473463</v>
      </c>
      <c r="I14" s="18">
        <f t="shared" si="3"/>
        <v>81000000</v>
      </c>
      <c r="J14" s="19">
        <f t="shared" si="4"/>
        <v>-154.31542951473463</v>
      </c>
    </row>
    <row r="15" spans="3:10" x14ac:dyDescent="0.25">
      <c r="C15" s="5">
        <f t="shared" si="5"/>
        <v>0</v>
      </c>
      <c r="D15" s="5">
        <f t="shared" si="0"/>
        <v>1000</v>
      </c>
      <c r="E15" s="8">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10000</v>
      </c>
      <c r="F15" s="3">
        <f>IF(E15="","",'TM-21 Inputs'!R19)</f>
        <v>0.98099999999999998</v>
      </c>
      <c r="G15" s="11">
        <f t="shared" si="1"/>
        <v>-1.9182819416773987E-2</v>
      </c>
      <c r="H15" s="14">
        <f t="shared" si="2"/>
        <v>-191.82819416773987</v>
      </c>
      <c r="I15" s="18">
        <f t="shared" si="3"/>
        <v>100000000</v>
      </c>
      <c r="J15" s="19">
        <f t="shared" si="4"/>
        <v>-191.82819416773987</v>
      </c>
    </row>
    <row r="16" spans="3:10" x14ac:dyDescent="0.25">
      <c r="C16" s="5">
        <f t="shared" si="5"/>
        <v>0</v>
      </c>
      <c r="D16" s="5">
        <f t="shared" si="0"/>
        <v>1000</v>
      </c>
      <c r="E16" s="8">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11000</v>
      </c>
      <c r="F16" s="3">
        <f>IF(E16="","",'TM-21 Inputs'!R20)</f>
        <v>0.97940000000000005</v>
      </c>
      <c r="G16" s="11">
        <f t="shared" si="1"/>
        <v>-2.0815139713920003E-2</v>
      </c>
      <c r="H16" s="14">
        <f t="shared" si="2"/>
        <v>-228.96653685312003</v>
      </c>
      <c r="I16" s="18">
        <f t="shared" si="3"/>
        <v>121000000</v>
      </c>
      <c r="J16" s="19">
        <f t="shared" si="4"/>
        <v>-228.96653685312003</v>
      </c>
    </row>
    <row r="17" spans="3:10" x14ac:dyDescent="0.25">
      <c r="C17" s="5">
        <f t="shared" si="5"/>
        <v>0</v>
      </c>
      <c r="D17" s="5">
        <f t="shared" si="0"/>
        <v>1000</v>
      </c>
      <c r="E17" s="8">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12000</v>
      </c>
      <c r="F17" s="3">
        <f>IF(E17="","",'TM-21 Inputs'!R21)</f>
        <v>0.97760000000000002</v>
      </c>
      <c r="G17" s="11">
        <f t="shared" si="1"/>
        <v>-2.2654690564806151E-2</v>
      </c>
      <c r="H17" s="14">
        <f t="shared" si="2"/>
        <v>-271.8562867776738</v>
      </c>
      <c r="I17" s="18">
        <f t="shared" si="3"/>
        <v>144000000</v>
      </c>
      <c r="J17" s="19">
        <f t="shared" si="4"/>
        <v>-271.8562867776738</v>
      </c>
    </row>
    <row r="18" spans="3:10" x14ac:dyDescent="0.25">
      <c r="C18" s="5">
        <f t="shared" si="5"/>
        <v>0</v>
      </c>
      <c r="D18" s="5">
        <f t="shared" si="0"/>
        <v>1000</v>
      </c>
      <c r="E18" s="8">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13000</v>
      </c>
      <c r="F18" s="3">
        <f>IF(E18="","",'TM-21 Inputs'!R22)</f>
        <v>0.97570000000000001</v>
      </c>
      <c r="G18" s="11">
        <f t="shared" si="1"/>
        <v>-2.4600116868232689E-2</v>
      </c>
      <c r="H18" s="14">
        <f t="shared" si="2"/>
        <v>-319.80151928702497</v>
      </c>
      <c r="I18" s="18">
        <f t="shared" si="3"/>
        <v>169000000</v>
      </c>
      <c r="J18" s="19">
        <f t="shared" si="4"/>
        <v>-319.80151928702497</v>
      </c>
    </row>
    <row r="19" spans="3:10" x14ac:dyDescent="0.25">
      <c r="C19" s="5">
        <f t="shared" si="5"/>
        <v>0</v>
      </c>
      <c r="D19" s="5">
        <f t="shared" si="0"/>
        <v>1000</v>
      </c>
      <c r="E19" s="8">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14000</v>
      </c>
      <c r="F19" s="3">
        <f>IF(E19="","",'TM-21 Inputs'!R23)</f>
        <v>0.97389999999999999</v>
      </c>
      <c r="G19" s="11">
        <f t="shared" si="1"/>
        <v>-2.6446650014983503E-2</v>
      </c>
      <c r="H19" s="14">
        <f t="shared" si="2"/>
        <v>-370.25310020976906</v>
      </c>
      <c r="I19" s="18">
        <f t="shared" si="3"/>
        <v>196000000</v>
      </c>
      <c r="J19" s="19">
        <f t="shared" si="4"/>
        <v>-370.25310020976906</v>
      </c>
    </row>
    <row r="20" spans="3:10" x14ac:dyDescent="0.25">
      <c r="C20" s="5">
        <f t="shared" si="5"/>
        <v>0</v>
      </c>
      <c r="D20" s="5">
        <f t="shared" si="0"/>
        <v>1000</v>
      </c>
      <c r="E20" s="8">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15000</v>
      </c>
      <c r="F20" s="3">
        <f>IF(E20="","",'TM-21 Inputs'!R24)</f>
        <v>0.97240000000000004</v>
      </c>
      <c r="G20" s="11">
        <f t="shared" si="1"/>
        <v>-2.7988036540168713E-2</v>
      </c>
      <c r="H20" s="14">
        <f t="shared" si="2"/>
        <v>-419.82054810253067</v>
      </c>
      <c r="I20" s="18">
        <f t="shared" si="3"/>
        <v>225000000</v>
      </c>
      <c r="J20" s="19">
        <f t="shared" si="4"/>
        <v>-419.82054810253067</v>
      </c>
    </row>
    <row r="21" spans="3:10" x14ac:dyDescent="0.25">
      <c r="C21" s="5">
        <f t="shared" si="5"/>
        <v>0</v>
      </c>
      <c r="D21" s="5">
        <f t="shared" si="0"/>
        <v>1000</v>
      </c>
      <c r="E21" s="8">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16000</v>
      </c>
      <c r="F21" s="3">
        <f>IF(E21="","",'TM-21 Inputs'!R25)</f>
        <v>0.97099999999999997</v>
      </c>
      <c r="G21" s="11">
        <f t="shared" si="1"/>
        <v>-2.9428810690812168E-2</v>
      </c>
      <c r="H21" s="14">
        <f t="shared" si="2"/>
        <v>-470.86097105299467</v>
      </c>
      <c r="I21" s="18">
        <f t="shared" si="3"/>
        <v>256000000</v>
      </c>
      <c r="J21" s="19">
        <f t="shared" si="4"/>
        <v>-470.86097105299467</v>
      </c>
    </row>
    <row r="22" spans="3:10" x14ac:dyDescent="0.25">
      <c r="C22" s="5">
        <f t="shared" si="5"/>
        <v>0</v>
      </c>
      <c r="D22" s="5">
        <f t="shared" si="0"/>
        <v>1000</v>
      </c>
      <c r="E22" s="8">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17000</v>
      </c>
      <c r="F22" s="3">
        <f>IF(E22="","",'TM-21 Inputs'!R26)</f>
        <v>0.96989999999999998</v>
      </c>
      <c r="G22" s="11">
        <f t="shared" si="1"/>
        <v>-3.0562305582639979E-2</v>
      </c>
      <c r="H22" s="14">
        <f t="shared" si="2"/>
        <v>-519.55919490487963</v>
      </c>
      <c r="I22" s="18">
        <f t="shared" si="3"/>
        <v>289000000</v>
      </c>
      <c r="J22" s="19">
        <f t="shared" si="4"/>
        <v>-519.55919490487963</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 t="shared" si="6"/>
        <v>9.7687999999999988</v>
      </c>
      <c r="G26" s="25">
        <f t="shared" si="6"/>
        <v>-0.23403989403378805</v>
      </c>
      <c r="H26" s="26">
        <f t="shared" si="6"/>
        <v>-3068.9831073223104</v>
      </c>
      <c r="I26" s="27">
        <f t="shared" si="6"/>
        <v>1645000000</v>
      </c>
      <c r="J26" s="28">
        <f t="shared" si="6"/>
        <v>-3068.9831073223104</v>
      </c>
    </row>
    <row r="27" spans="3:10" ht="15.75" thickBot="1" x14ac:dyDescent="0.3"/>
    <row r="28" spans="3:10" ht="15.75" x14ac:dyDescent="0.25">
      <c r="E28" s="292" t="s">
        <v>9</v>
      </c>
      <c r="F28" s="293"/>
    </row>
    <row r="29" spans="3:10" x14ac:dyDescent="0.25">
      <c r="E29" s="34" t="s">
        <v>15</v>
      </c>
      <c r="F29" s="35">
        <f>IF('TM-21 Inputs'!I23="","",((COUNTIF(E6:E25,"&gt;"&amp;0)*H26-(E26*G26))/((COUNTIF(E6:E25,"&gt;"&amp;0)*I26)-(E26^2))))</f>
        <v>-1.7392052351510254E-6</v>
      </c>
    </row>
    <row r="30" spans="3:10" x14ac:dyDescent="0.25">
      <c r="E30" s="36" t="s">
        <v>16</v>
      </c>
      <c r="F30" s="37">
        <f>IF('TM-21 Inputs'!I23="","",(G26-(F29*E26))/COUNTIF(E6:E25,"&gt;"&amp;0))</f>
        <v>-1.6639239639909876E-3</v>
      </c>
    </row>
    <row r="31" spans="3:10" x14ac:dyDescent="0.25">
      <c r="E31" s="38" t="s">
        <v>17</v>
      </c>
      <c r="F31" s="37">
        <f>IF('TM-21 Inputs'!I23="","",-F29)</f>
        <v>1.7392052351510254E-6</v>
      </c>
    </row>
    <row r="32" spans="3:10" x14ac:dyDescent="0.25">
      <c r="E32" s="36" t="s">
        <v>18</v>
      </c>
      <c r="F32" s="37">
        <f>IF('TM-21 Inputs'!I23="","",EXP(F30))</f>
        <v>0.99833745959000542</v>
      </c>
    </row>
    <row r="33" spans="5:6" ht="30" customHeight="1" x14ac:dyDescent="0.25">
      <c r="E33" s="39" t="str">
        <f>CONCATENATE("Calculated L",'TM-21 Inputs'!I35," (hrs):")</f>
        <v>Calculated L80 (hrs):</v>
      </c>
      <c r="F33" s="40">
        <f>IF('TM-21 Inputs'!I23="","",ROUND((LN(F32/('TM-21 Inputs'!$I$35/100))/F31),-3))</f>
        <v>127000</v>
      </c>
    </row>
    <row r="34" spans="5:6" ht="30" customHeight="1" thickBot="1" x14ac:dyDescent="0.3">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3D02F617A24C48A2F08098488F1436" ma:contentTypeVersion="13" ma:contentTypeDescription="Crear nuevo documento." ma:contentTypeScope="" ma:versionID="98402e0ce76a55e3a669c06b1e8deed4">
  <xsd:schema xmlns:xsd="http://www.w3.org/2001/XMLSchema" xmlns:xs="http://www.w3.org/2001/XMLSchema" xmlns:p="http://schemas.microsoft.com/office/2006/metadata/properties" xmlns:ns3="6033514a-3e8d-4be3-88db-d8cbf0b7d427" targetNamespace="http://schemas.microsoft.com/office/2006/metadata/properties" ma:root="true" ma:fieldsID="5334eaa14ad4e422be8bd6af7cd40697" ns3:_="">
    <xsd:import namespace="6033514a-3e8d-4be3-88db-d8cbf0b7d42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514a-3e8d-4be3-88db-d8cbf0b7d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033514a-3e8d-4be3-88db-d8cbf0b7d427" xsi:nil="true"/>
  </documentManagement>
</p:properties>
</file>

<file path=customXml/itemProps1.xml><?xml version="1.0" encoding="utf-8"?>
<ds:datastoreItem xmlns:ds="http://schemas.openxmlformats.org/officeDocument/2006/customXml" ds:itemID="{6A0FE962-A900-4480-BF76-5477F277F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514a-3e8d-4be3-88db-d8cbf0b7d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698133-24D1-4BD9-A411-ACA918D96B9F}">
  <ds:schemaRefs>
    <ds:schemaRef ds:uri="http://schemas.microsoft.com/sharepoint/v3/contenttype/forms"/>
  </ds:schemaRefs>
</ds:datastoreItem>
</file>

<file path=customXml/itemProps3.xml><?xml version="1.0" encoding="utf-8"?>
<ds:datastoreItem xmlns:ds="http://schemas.openxmlformats.org/officeDocument/2006/customXml" ds:itemID="{5B194A22-6E4C-4B7B-A255-F121B14EC10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033514a-3e8d-4be3-88db-d8cbf0b7d42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lpstr>'Product Inputs'!Área_de_impresión</vt:lpstr>
      <vt:lpstr>'rev. 02.08.16'!Área_de_impresión</vt:lpstr>
      <vt:lpstr>'TM-21 Inputs'!Área_de_impresión</vt:lpstr>
      <vt:lpstr>'TM-21 Projection'!Área_de_impresión</vt:lpstr>
      <vt:lpstr>'TM-21 Report'!Área_de_impresión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Wilson Eriot Giraldo Cardona</cp:lastModifiedBy>
  <cp:lastPrinted>2026-06-23T18:18:12Z</cp:lastPrinted>
  <dcterms:created xsi:type="dcterms:W3CDTF">2011-11-01T14:53:21Z</dcterms:created>
  <dcterms:modified xsi:type="dcterms:W3CDTF">2026-06-25T16:33:30Z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0x010100C03D02F617A24C48A2F08098488F1436</vt:lpwstr>
  </property>
</Properties>
</file>