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E:\Guatemala\Documentos Mayo 2026\RALED III VIA TIPO M2\Informe Vída Útil LM80 y TM21\"/>
    </mc:Choice>
  </mc:AlternateContent>
  <xr:revisionPtr revIDLastSave="0" documentId="13_ncr:1_{C48E59DB-8625-435B-A5C3-7FB9C6BFD166}" xr6:coauthVersionLast="47" xr6:coauthVersionMax="47" xr10:uidLastSave="{00000000-0000-0000-0000-000000000000}"/>
  <workbookProtection workbookAlgorithmName="SHA-512" workbookHashValue="30t2woElpKpvLv1nBVkZ26oq29RSOOL8AEXJUgSQYsQc78uzYzLNYHbHqvf/rcc+bV0DsbDLuBvaIMFOWYfztg==" workbookSaltValue="sRZyF1nBWRcz5RG0i7Cq/g==" workbookSpinCount="100000" lockStructure="1"/>
  <bookViews>
    <workbookView xWindow="20370" yWindow="-120" windowWidth="15600" windowHeight="11160" tabRatio="883" activeTab="4" xr2:uid="{00000000-000D-0000-FFFF-FFFF00000000}"/>
  </bookViews>
  <sheets>
    <sheet name="rev. 02.08.16" sheetId="1" r:id="rId1"/>
    <sheet name="TM-21 Inputs" sheetId="2" r:id="rId2"/>
    <sheet name="Product Inputs" sheetId="3" r:id="rId3"/>
    <sheet name="TM-21 Projection" sheetId="8" r:id="rId4"/>
    <sheet name="TM-21 Report" sheetId="13" r:id="rId5"/>
    <sheet name="Hide when public ==&gt;" sheetId="11" state="hidden" r:id="rId6"/>
    <sheet name="Calculations - Case Temp 1" sheetId="5" state="hidden" r:id="rId7"/>
    <sheet name="Calculations - Case Temp 2" sheetId="6" state="hidden" r:id="rId8"/>
    <sheet name="Calculations - Case Temp 3" sheetId="7" state="hidden" r:id="rId9"/>
  </sheets>
  <definedNames>
    <definedName name="_xlnm.Print_Area" localSheetId="2">'Product Inputs'!$A$1:$M$19</definedName>
    <definedName name="_xlnm.Print_Area" localSheetId="0">'rev. 02.08.16'!$A$1:$C$4</definedName>
    <definedName name="_xlnm.Print_Area" localSheetId="1">'TM-21 Inputs'!$A$1:$T$45</definedName>
    <definedName name="_xlnm.Print_Area" localSheetId="3">'TM-21 Projection'!$J$1:$M$16</definedName>
    <definedName name="_xlnm.Print_Area" localSheetId="4">'TM-21 Report'!$B$1:$O$32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 l="1"/>
  <c r="L25" i="13" l="1"/>
  <c r="I22" i="13"/>
  <c r="F22" i="13"/>
  <c r="C22" i="13"/>
  <c r="I18" i="2" l="1"/>
  <c r="E9" i="6"/>
  <c r="E10" i="6"/>
  <c r="E11" i="6"/>
  <c r="E12" i="6"/>
  <c r="E13" i="6"/>
  <c r="E14" i="6"/>
  <c r="E15" i="6"/>
  <c r="E16" i="6"/>
  <c r="E17" i="6"/>
  <c r="E18" i="6"/>
  <c r="E19" i="6"/>
  <c r="E20" i="6"/>
  <c r="E21" i="6"/>
  <c r="E22" i="6"/>
  <c r="E23" i="6"/>
  <c r="E24" i="6"/>
  <c r="E25" i="6"/>
  <c r="E7" i="6"/>
  <c r="E8" i="6"/>
  <c r="E7" i="7"/>
  <c r="E8" i="7"/>
  <c r="E9" i="7"/>
  <c r="E10" i="7"/>
  <c r="E11" i="7"/>
  <c r="E12" i="7"/>
  <c r="E13" i="7"/>
  <c r="E14" i="7"/>
  <c r="E15" i="7"/>
  <c r="E16" i="7"/>
  <c r="E17" i="7"/>
  <c r="E18" i="7"/>
  <c r="E19" i="7"/>
  <c r="E20" i="7"/>
  <c r="E21" i="7"/>
  <c r="E22" i="7"/>
  <c r="E23" i="7"/>
  <c r="E24" i="7"/>
  <c r="E25" i="7"/>
  <c r="E6" i="7"/>
  <c r="E6" i="6"/>
  <c r="C7" i="7"/>
  <c r="D6" i="7"/>
  <c r="C6" i="7"/>
  <c r="C7" i="6"/>
  <c r="D6" i="6"/>
  <c r="C6" i="6"/>
  <c r="E7" i="5"/>
  <c r="E8" i="5"/>
  <c r="E9" i="5"/>
  <c r="E10" i="5"/>
  <c r="E11" i="5"/>
  <c r="E12" i="5"/>
  <c r="E13" i="5"/>
  <c r="E14" i="5"/>
  <c r="E15" i="5"/>
  <c r="E16" i="5"/>
  <c r="E17" i="5"/>
  <c r="E18" i="5"/>
  <c r="E19" i="5"/>
  <c r="E20" i="5"/>
  <c r="E21" i="5"/>
  <c r="E22" i="5"/>
  <c r="E23" i="5"/>
  <c r="E24" i="5"/>
  <c r="E25" i="5"/>
  <c r="E6" i="5"/>
  <c r="B17" i="3"/>
  <c r="C7" i="5"/>
  <c r="C6" i="5"/>
  <c r="D6" i="5"/>
  <c r="N8" i="2"/>
  <c r="K8" i="2"/>
  <c r="D13" i="6" l="1"/>
  <c r="D15" i="7"/>
  <c r="D11" i="7"/>
  <c r="D24" i="6"/>
  <c r="D20" i="6"/>
  <c r="D16" i="6"/>
  <c r="D12" i="6"/>
  <c r="D25" i="6"/>
  <c r="D21" i="6"/>
  <c r="D18" i="7"/>
  <c r="D14" i="7"/>
  <c r="D10" i="7"/>
  <c r="D8" i="6"/>
  <c r="D19" i="6"/>
  <c r="D15" i="6"/>
  <c r="D11" i="6"/>
  <c r="D25" i="7"/>
  <c r="D21" i="7"/>
  <c r="D22" i="6"/>
  <c r="D17" i="7"/>
  <c r="D9" i="7"/>
  <c r="D18" i="6"/>
  <c r="D10" i="6"/>
  <c r="D23" i="7"/>
  <c r="D13" i="7"/>
  <c r="D14" i="6"/>
  <c r="D17" i="6"/>
  <c r="D20" i="7"/>
  <c r="D9" i="6"/>
  <c r="D8" i="7"/>
  <c r="D12" i="7"/>
  <c r="D16" i="7"/>
  <c r="D7" i="6"/>
  <c r="D7" i="7"/>
  <c r="D23" i="6"/>
  <c r="D19" i="7"/>
  <c r="D22" i="7"/>
  <c r="D24" i="7"/>
  <c r="D11" i="5"/>
  <c r="H42" i="2"/>
  <c r="C21" i="6" l="1"/>
  <c r="C20" i="7"/>
  <c r="C19" i="6"/>
  <c r="C8" i="7"/>
  <c r="C13" i="6"/>
  <c r="C14" i="6"/>
  <c r="C15" i="7"/>
  <c r="C16" i="6"/>
  <c r="C16" i="7"/>
  <c r="C18" i="7"/>
  <c r="C12" i="6"/>
  <c r="C11" i="7"/>
  <c r="C25" i="6"/>
  <c r="C25" i="7"/>
  <c r="C24" i="6"/>
  <c r="C22" i="6"/>
  <c r="C20" i="6"/>
  <c r="C11" i="6"/>
  <c r="C21" i="7"/>
  <c r="C13" i="7"/>
  <c r="C10" i="7"/>
  <c r="C19" i="7"/>
  <c r="C8" i="6"/>
  <c r="C9" i="6"/>
  <c r="C15" i="6"/>
  <c r="C14" i="7"/>
  <c r="C9" i="7"/>
  <c r="C18" i="6"/>
  <c r="C23" i="6"/>
  <c r="C17" i="6"/>
  <c r="C17" i="7"/>
  <c r="C10" i="6"/>
  <c r="C12" i="7"/>
  <c r="C24" i="7"/>
  <c r="C23" i="7"/>
  <c r="C22" i="7"/>
  <c r="C15" i="3"/>
  <c r="D7" i="5"/>
  <c r="D10" i="5"/>
  <c r="C11" i="5" s="1"/>
  <c r="I21" i="13"/>
  <c r="I20" i="13"/>
  <c r="I19" i="13"/>
  <c r="I18" i="13"/>
  <c r="I17" i="13"/>
  <c r="I16" i="13"/>
  <c r="I15" i="13"/>
  <c r="I14" i="13"/>
  <c r="F21" i="13"/>
  <c r="F20" i="13"/>
  <c r="F19" i="13"/>
  <c r="F18" i="13"/>
  <c r="F17" i="13"/>
  <c r="F16" i="13"/>
  <c r="F15" i="13"/>
  <c r="F14" i="13"/>
  <c r="C13" i="13"/>
  <c r="F10" i="13"/>
  <c r="I13" i="13"/>
  <c r="F13" i="13"/>
  <c r="G6" i="3"/>
  <c r="D19" i="13" s="1"/>
  <c r="J6" i="3"/>
  <c r="G19" i="13" s="1"/>
  <c r="M6" i="3"/>
  <c r="M7" i="3" s="1"/>
  <c r="F8" i="3"/>
  <c r="I8" i="3"/>
  <c r="L8" i="3"/>
  <c r="F9" i="3"/>
  <c r="I9" i="3"/>
  <c r="L9" i="3"/>
  <c r="Q8" i="2"/>
  <c r="J34" i="2"/>
  <c r="J33" i="2"/>
  <c r="C26" i="6" l="1"/>
  <c r="C26" i="7"/>
  <c r="D15" i="5"/>
  <c r="D17" i="5"/>
  <c r="D19" i="5"/>
  <c r="D21" i="5"/>
  <c r="D23" i="5"/>
  <c r="D25" i="5"/>
  <c r="D9" i="5"/>
  <c r="C10" i="5" s="1"/>
  <c r="D14" i="5"/>
  <c r="D16" i="5"/>
  <c r="D18" i="5"/>
  <c r="D20" i="5"/>
  <c r="D22" i="5"/>
  <c r="D24" i="5"/>
  <c r="D13" i="5"/>
  <c r="D12" i="5"/>
  <c r="D8" i="5"/>
  <c r="G16" i="13"/>
  <c r="G17" i="13"/>
  <c r="G18" i="13"/>
  <c r="J17" i="13"/>
  <c r="J18" i="13"/>
  <c r="D17" i="13"/>
  <c r="D18" i="13"/>
  <c r="L13" i="8"/>
  <c r="M22" i="13" s="1"/>
  <c r="J7" i="3"/>
  <c r="G7" i="3"/>
  <c r="D14" i="13"/>
  <c r="J14" i="13"/>
  <c r="G15" i="13"/>
  <c r="D16" i="13"/>
  <c r="J16" i="13"/>
  <c r="J19" i="13"/>
  <c r="G14" i="13"/>
  <c r="D15" i="13"/>
  <c r="J15" i="13"/>
  <c r="C2" i="3"/>
  <c r="C11" i="3"/>
  <c r="B18" i="3"/>
  <c r="C25" i="5" l="1"/>
  <c r="C17" i="5"/>
  <c r="C21" i="5"/>
  <c r="C14" i="5"/>
  <c r="C9" i="5"/>
  <c r="C23" i="5"/>
  <c r="C19" i="5"/>
  <c r="C15" i="5"/>
  <c r="C22" i="5"/>
  <c r="C18" i="5"/>
  <c r="C8" i="5"/>
  <c r="C13" i="5"/>
  <c r="C12" i="5"/>
  <c r="C24" i="5"/>
  <c r="C20" i="5"/>
  <c r="C16" i="5"/>
  <c r="C3" i="3"/>
  <c r="L2" i="8" s="1"/>
  <c r="M11" i="13" s="1"/>
  <c r="H24" i="2"/>
  <c r="I4" i="8"/>
  <c r="F4" i="8"/>
  <c r="C4" i="8"/>
  <c r="I3" i="8"/>
  <c r="F3" i="8"/>
  <c r="C3" i="8"/>
  <c r="I2" i="8"/>
  <c r="F2" i="8"/>
  <c r="C2" i="8"/>
  <c r="B11" i="8"/>
  <c r="I5" i="8"/>
  <c r="F5" i="8"/>
  <c r="C5" i="8"/>
  <c r="I8" i="8"/>
  <c r="F8" i="8"/>
  <c r="C8" i="8"/>
  <c r="F6" i="8"/>
  <c r="C6" i="8"/>
  <c r="H12" i="8"/>
  <c r="H11" i="8"/>
  <c r="E12" i="8"/>
  <c r="E11" i="8"/>
  <c r="F17" i="7"/>
  <c r="F15" i="7"/>
  <c r="F13" i="7"/>
  <c r="F11" i="7"/>
  <c r="G11" i="7" s="1"/>
  <c r="F9" i="7"/>
  <c r="G9" i="7" s="1"/>
  <c r="F7" i="7"/>
  <c r="C4" i="6"/>
  <c r="C4" i="7"/>
  <c r="B12" i="8"/>
  <c r="E34" i="7"/>
  <c r="L11" i="3" s="1"/>
  <c r="E33" i="5"/>
  <c r="F10" i="3" s="1"/>
  <c r="E33" i="7"/>
  <c r="L10" i="3" s="1"/>
  <c r="E34" i="6"/>
  <c r="I11" i="3" s="1"/>
  <c r="E33" i="6"/>
  <c r="I10" i="3" s="1"/>
  <c r="E34" i="5"/>
  <c r="F11" i="3" s="1"/>
  <c r="F9" i="5"/>
  <c r="G9" i="5" s="1"/>
  <c r="F8" i="7"/>
  <c r="G8" i="7" s="1"/>
  <c r="F10" i="7"/>
  <c r="G10" i="7" s="1"/>
  <c r="F12" i="7"/>
  <c r="F14" i="7"/>
  <c r="F16" i="7"/>
  <c r="F18" i="7"/>
  <c r="F19" i="7"/>
  <c r="F20" i="7"/>
  <c r="F21" i="7"/>
  <c r="F22" i="7"/>
  <c r="F23" i="7"/>
  <c r="F24" i="7"/>
  <c r="F25" i="7"/>
  <c r="C4" i="5"/>
  <c r="F11" i="6"/>
  <c r="G11" i="6" s="1"/>
  <c r="J11" i="6" s="1"/>
  <c r="F10" i="6"/>
  <c r="G10" i="6" s="1"/>
  <c r="J10" i="6" s="1"/>
  <c r="F9" i="6"/>
  <c r="G9" i="6" s="1"/>
  <c r="J9" i="6" s="1"/>
  <c r="F8" i="6"/>
  <c r="G8" i="6" s="1"/>
  <c r="J8" i="6" s="1"/>
  <c r="F7" i="6"/>
  <c r="G7" i="6" s="1"/>
  <c r="J7" i="6"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8" i="5"/>
  <c r="F7" i="5"/>
  <c r="G7" i="5" s="1"/>
  <c r="C26" i="5" l="1"/>
  <c r="G8" i="5"/>
  <c r="J8" i="5" s="1"/>
  <c r="F6" i="6"/>
  <c r="G6" i="6" s="1"/>
  <c r="H6" i="6" s="1"/>
  <c r="F6" i="5"/>
  <c r="F26" i="5" s="1"/>
  <c r="F6" i="7"/>
  <c r="G6" i="7" s="1"/>
  <c r="J6" i="7" s="1"/>
  <c r="C6" i="3"/>
  <c r="L6" i="8" s="1"/>
  <c r="M15" i="13" s="1"/>
  <c r="C7" i="8"/>
  <c r="I7" i="8"/>
  <c r="I6" i="8"/>
  <c r="L14" i="8"/>
  <c r="M23" i="13" s="1"/>
  <c r="I16" i="7"/>
  <c r="I13" i="7"/>
  <c r="I7" i="7"/>
  <c r="G16" i="7"/>
  <c r="J16" i="7" s="1"/>
  <c r="I6" i="7"/>
  <c r="G13" i="7"/>
  <c r="H13" i="7" s="1"/>
  <c r="I12" i="7"/>
  <c r="I11" i="7"/>
  <c r="I10" i="7"/>
  <c r="I9" i="7"/>
  <c r="I8" i="7"/>
  <c r="G7" i="7"/>
  <c r="J7" i="7" s="1"/>
  <c r="I24" i="7"/>
  <c r="G24" i="7"/>
  <c r="J24" i="7" s="1"/>
  <c r="I22" i="7"/>
  <c r="G22" i="7"/>
  <c r="J22" i="7" s="1"/>
  <c r="I20" i="7"/>
  <c r="G20" i="7"/>
  <c r="J20" i="7" s="1"/>
  <c r="I18" i="7"/>
  <c r="G18" i="7"/>
  <c r="J18" i="7" s="1"/>
  <c r="I15" i="7"/>
  <c r="G15" i="7"/>
  <c r="H15" i="7" s="1"/>
  <c r="I25" i="7"/>
  <c r="G25" i="7"/>
  <c r="J25" i="7" s="1"/>
  <c r="I23" i="7"/>
  <c r="G23" i="7"/>
  <c r="J23" i="7" s="1"/>
  <c r="I21" i="7"/>
  <c r="G21" i="7"/>
  <c r="J21" i="7" s="1"/>
  <c r="I19" i="7"/>
  <c r="G19" i="7"/>
  <c r="J19" i="7" s="1"/>
  <c r="I17" i="7"/>
  <c r="G17" i="7"/>
  <c r="J17" i="7" s="1"/>
  <c r="I14" i="7"/>
  <c r="G14" i="7"/>
  <c r="H14" i="7" s="1"/>
  <c r="G12" i="7"/>
  <c r="H12" i="7" s="1"/>
  <c r="E26" i="7"/>
  <c r="J11" i="7"/>
  <c r="H11" i="7"/>
  <c r="J10" i="7"/>
  <c r="H10" i="7"/>
  <c r="J9" i="7"/>
  <c r="H9" i="7"/>
  <c r="J8" i="7"/>
  <c r="H8" i="7"/>
  <c r="I7" i="6"/>
  <c r="I9" i="6"/>
  <c r="I11" i="6"/>
  <c r="I6" i="6"/>
  <c r="I8" i="6"/>
  <c r="I10" i="6"/>
  <c r="H7" i="6"/>
  <c r="H8" i="6"/>
  <c r="H9" i="6"/>
  <c r="H10" i="6"/>
  <c r="H11" i="6"/>
  <c r="H7" i="5"/>
  <c r="H9" i="5"/>
  <c r="H11" i="5"/>
  <c r="H13" i="5"/>
  <c r="H15" i="5"/>
  <c r="H17" i="5"/>
  <c r="H19" i="5"/>
  <c r="H21" i="5"/>
  <c r="H23" i="5"/>
  <c r="H25" i="5"/>
  <c r="H10" i="5"/>
  <c r="H12" i="5"/>
  <c r="H14" i="5"/>
  <c r="H16" i="5"/>
  <c r="H18" i="5"/>
  <c r="H20" i="5"/>
  <c r="H22" i="5"/>
  <c r="H24" i="5"/>
  <c r="I7" i="5"/>
  <c r="I9" i="5"/>
  <c r="I11" i="5"/>
  <c r="I13" i="5"/>
  <c r="I15" i="5"/>
  <c r="I17" i="5"/>
  <c r="I19" i="5"/>
  <c r="I21" i="5"/>
  <c r="I23" i="5"/>
  <c r="I25" i="5"/>
  <c r="J7" i="5"/>
  <c r="J9" i="5"/>
  <c r="J11" i="5"/>
  <c r="J13" i="5"/>
  <c r="J15" i="5"/>
  <c r="J17" i="5"/>
  <c r="J19" i="5"/>
  <c r="J21" i="5"/>
  <c r="J23" i="5"/>
  <c r="J25" i="5"/>
  <c r="I6" i="5"/>
  <c r="I8" i="5"/>
  <c r="I10" i="5"/>
  <c r="I12" i="5"/>
  <c r="I14" i="5"/>
  <c r="I16" i="5"/>
  <c r="I18" i="5"/>
  <c r="I20" i="5"/>
  <c r="I22" i="5"/>
  <c r="I24" i="5"/>
  <c r="J10" i="5"/>
  <c r="J12" i="5"/>
  <c r="J14" i="5"/>
  <c r="J16" i="5"/>
  <c r="J18" i="5"/>
  <c r="J20" i="5"/>
  <c r="J22" i="5"/>
  <c r="J24" i="5"/>
  <c r="E26" i="5"/>
  <c r="G6" i="5" l="1"/>
  <c r="J6" i="5" s="1"/>
  <c r="J26" i="5" s="1"/>
  <c r="K30" i="2"/>
  <c r="H16" i="7"/>
  <c r="H8" i="5"/>
  <c r="H22" i="7"/>
  <c r="H7" i="7"/>
  <c r="J13" i="7"/>
  <c r="H6" i="7"/>
  <c r="J6" i="6"/>
  <c r="J15" i="7"/>
  <c r="H18" i="7"/>
  <c r="H24" i="7"/>
  <c r="F26" i="7"/>
  <c r="H20" i="7"/>
  <c r="H19" i="7"/>
  <c r="H21" i="7"/>
  <c r="H23" i="7"/>
  <c r="H25" i="7"/>
  <c r="J14" i="7"/>
  <c r="J12" i="7"/>
  <c r="H17" i="7"/>
  <c r="L7" i="8"/>
  <c r="M16" i="13" s="1"/>
  <c r="L3" i="8"/>
  <c r="M12" i="13" s="1"/>
  <c r="I26" i="7"/>
  <c r="G26" i="7"/>
  <c r="H6" i="5"/>
  <c r="I26" i="5"/>
  <c r="G26" i="5" l="1"/>
  <c r="H26" i="5"/>
  <c r="H26" i="7"/>
  <c r="F29" i="7" s="1"/>
  <c r="J26" i="7"/>
  <c r="F29" i="5" l="1"/>
  <c r="F30" i="5" s="1"/>
  <c r="F32" i="5" s="1"/>
  <c r="G9" i="3" s="1"/>
  <c r="D21" i="13" s="1"/>
  <c r="F25" i="6"/>
  <c r="G25" i="6" s="1"/>
  <c r="H25" i="6" s="1"/>
  <c r="I25" i="6"/>
  <c r="F30" i="7"/>
  <c r="F32" i="7" s="1"/>
  <c r="F31" i="7"/>
  <c r="M8" i="3" s="1"/>
  <c r="J20" i="13" s="1"/>
  <c r="F12" i="6"/>
  <c r="G12" i="6" s="1"/>
  <c r="H12" i="6" s="1"/>
  <c r="I12" i="6"/>
  <c r="C10" i="8" l="1"/>
  <c r="F31" i="5"/>
  <c r="G8" i="3" s="1"/>
  <c r="D20" i="13" s="1"/>
  <c r="J25" i="6"/>
  <c r="M9" i="3"/>
  <c r="J21" i="13" s="1"/>
  <c r="F33" i="7"/>
  <c r="I9" i="8"/>
  <c r="J12" i="6"/>
  <c r="I10" i="8"/>
  <c r="F13" i="6"/>
  <c r="G13" i="6" s="1"/>
  <c r="J13" i="6" s="1"/>
  <c r="I13" i="6"/>
  <c r="F33" i="5" l="1"/>
  <c r="F34" i="5" s="1"/>
  <c r="G11" i="3" s="1"/>
  <c r="D22" i="13" s="1"/>
  <c r="C9" i="8"/>
  <c r="F34" i="7"/>
  <c r="M11" i="3" s="1"/>
  <c r="J22" i="13" s="1"/>
  <c r="M10" i="3"/>
  <c r="I11" i="8"/>
  <c r="H13" i="6"/>
  <c r="F14" i="6"/>
  <c r="G14" i="6" s="1"/>
  <c r="H14" i="6" s="1"/>
  <c r="I14" i="6"/>
  <c r="G10" i="3" l="1"/>
  <c r="C11" i="8"/>
  <c r="C12" i="8"/>
  <c r="I12" i="8"/>
  <c r="J14" i="6"/>
  <c r="F15" i="6"/>
  <c r="G15" i="6" s="1"/>
  <c r="J15" i="6" s="1"/>
  <c r="I15" i="6"/>
  <c r="H15" i="6" l="1"/>
  <c r="F16" i="6"/>
  <c r="G16" i="6" s="1"/>
  <c r="H16" i="6" s="1"/>
  <c r="I16" i="6"/>
  <c r="J16" i="6" l="1"/>
  <c r="F17" i="6"/>
  <c r="G17" i="6" s="1"/>
  <c r="J17" i="6" s="1"/>
  <c r="I17" i="6"/>
  <c r="H17" i="6" l="1"/>
  <c r="F18" i="6"/>
  <c r="G18" i="6" s="1"/>
  <c r="H18" i="6" s="1"/>
  <c r="I18" i="6"/>
  <c r="J18" i="6" l="1"/>
  <c r="F19" i="6"/>
  <c r="G19" i="6" s="1"/>
  <c r="J19" i="6" s="1"/>
  <c r="I19" i="6"/>
  <c r="H19" i="6" l="1"/>
  <c r="F20" i="6"/>
  <c r="G20" i="6" s="1"/>
  <c r="H20" i="6" s="1"/>
  <c r="I20" i="6"/>
  <c r="J20" i="6" l="1"/>
  <c r="F21" i="6"/>
  <c r="G21" i="6" s="1"/>
  <c r="J21" i="6" s="1"/>
  <c r="I21" i="6"/>
  <c r="H21" i="6" l="1"/>
  <c r="F22" i="6"/>
  <c r="G22" i="6" s="1"/>
  <c r="H22" i="6" s="1"/>
  <c r="I22" i="6"/>
  <c r="J22" i="6" l="1"/>
  <c r="F23" i="6"/>
  <c r="G23" i="6" s="1"/>
  <c r="J23" i="6" s="1"/>
  <c r="I23" i="6"/>
  <c r="F7" i="8" l="1"/>
  <c r="H23" i="6"/>
  <c r="F24" i="6"/>
  <c r="F26" i="6" s="1"/>
  <c r="I24" i="6"/>
  <c r="I26" i="6" s="1"/>
  <c r="E26" i="6"/>
  <c r="G24" i="6" l="1"/>
  <c r="G26" i="6" s="1"/>
  <c r="H24" i="6" l="1"/>
  <c r="H26" i="6" s="1"/>
  <c r="F29" i="6" s="1"/>
  <c r="F30" i="6" s="1"/>
  <c r="F32" i="6" s="1"/>
  <c r="F10" i="8" s="1"/>
  <c r="J24" i="6"/>
  <c r="J26" i="6" s="1"/>
  <c r="F31" i="6" l="1"/>
  <c r="J8" i="3" s="1"/>
  <c r="G20" i="13" s="1"/>
  <c r="J9" i="3"/>
  <c r="C7" i="3" l="1"/>
  <c r="L8" i="8" s="1"/>
  <c r="M17" i="13" s="1"/>
  <c r="G21" i="13"/>
  <c r="C8" i="3"/>
  <c r="L9" i="8" s="1"/>
  <c r="M18" i="13" s="1"/>
  <c r="C4" i="3"/>
  <c r="L4" i="8" s="1"/>
  <c r="M13" i="13" s="1"/>
  <c r="C5" i="3"/>
  <c r="L5" i="8" s="1"/>
  <c r="M14" i="13" s="1"/>
  <c r="F9" i="8"/>
  <c r="F33" i="6"/>
  <c r="F34" i="6" l="1"/>
  <c r="F12" i="8" s="1"/>
  <c r="J10" i="3"/>
  <c r="C25" i="13"/>
  <c r="C14" i="3"/>
  <c r="C9" i="3"/>
  <c r="C12" i="3" s="1"/>
  <c r="C13" i="3" s="1"/>
  <c r="C16" i="3" s="1"/>
  <c r="F11" i="8"/>
  <c r="J11" i="3" l="1"/>
  <c r="G22" i="13" s="1"/>
  <c r="I41" i="2"/>
  <c r="L12" i="8"/>
  <c r="M21" i="13" s="1"/>
  <c r="C17" i="3"/>
  <c r="C18" i="3" s="1"/>
  <c r="L10" i="8"/>
  <c r="M19" i="13" s="1"/>
  <c r="L11" i="8"/>
  <c r="M20" i="13" s="1"/>
  <c r="L15" i="8"/>
  <c r="M24" i="13" s="1"/>
  <c r="J41" i="2" l="1"/>
  <c r="I42" i="2"/>
  <c r="M25" i="13" s="1"/>
</calcChain>
</file>

<file path=xl/sharedStrings.xml><?xml version="1.0" encoding="utf-8"?>
<sst xmlns="http://schemas.openxmlformats.org/spreadsheetml/2006/main" count="169" uniqueCount="103">
  <si>
    <t>Number of Samples Measured:</t>
  </si>
  <si>
    <t>xlny</t>
  </si>
  <si>
    <t>A</t>
  </si>
  <si>
    <t>Time (hrs) = x</t>
  </si>
  <si>
    <t>Average Normalized Lumen Maintenance = y</t>
  </si>
  <si>
    <t>xy</t>
  </si>
  <si>
    <r>
      <t>x</t>
    </r>
    <r>
      <rPr>
        <vertAlign val="superscript"/>
        <sz val="11"/>
        <color theme="1"/>
        <rFont val="Calibri"/>
        <family val="2"/>
        <scheme val="minor"/>
      </rPr>
      <t>2</t>
    </r>
  </si>
  <si>
    <t>ln(y)</t>
  </si>
  <si>
    <t>Sums</t>
  </si>
  <si>
    <t>Results</t>
  </si>
  <si>
    <t>Temperature (⁰C):</t>
  </si>
  <si>
    <t>Temperature (⁰K):</t>
  </si>
  <si>
    <t>Case Temperature 1</t>
  </si>
  <si>
    <t>Case Temperature 2</t>
  </si>
  <si>
    <t>Case Temperature 3</t>
  </si>
  <si>
    <t>Slope:</t>
  </si>
  <si>
    <t>Intercept:</t>
  </si>
  <si>
    <t>α:</t>
  </si>
  <si>
    <t>B:</t>
  </si>
  <si>
    <r>
      <t>E</t>
    </r>
    <r>
      <rPr>
        <vertAlign val="subscript"/>
        <sz val="11"/>
        <color theme="1"/>
        <rFont val="Calibri"/>
        <family val="2"/>
        <scheme val="minor"/>
      </rPr>
      <t>a</t>
    </r>
    <r>
      <rPr>
        <sz val="11"/>
        <color theme="1"/>
        <rFont val="Calibri"/>
        <family val="2"/>
        <scheme val="minor"/>
      </rPr>
      <t>/k</t>
    </r>
    <r>
      <rPr>
        <vertAlign val="subscript"/>
        <sz val="11"/>
        <color theme="1"/>
        <rFont val="Calibri"/>
        <family val="2"/>
        <scheme val="minor"/>
      </rPr>
      <t>b</t>
    </r>
  </si>
  <si>
    <r>
      <t>α</t>
    </r>
    <r>
      <rPr>
        <vertAlign val="subscript"/>
        <sz val="11"/>
        <color theme="1"/>
        <rFont val="Calibri"/>
        <family val="2"/>
      </rPr>
      <t>1</t>
    </r>
  </si>
  <si>
    <r>
      <t>B</t>
    </r>
    <r>
      <rPr>
        <vertAlign val="subscript"/>
        <sz val="11"/>
        <color theme="1"/>
        <rFont val="Calibri"/>
        <family val="2"/>
        <scheme val="minor"/>
      </rPr>
      <t>1</t>
    </r>
  </si>
  <si>
    <r>
      <t>α</t>
    </r>
    <r>
      <rPr>
        <vertAlign val="subscript"/>
        <sz val="9.35"/>
        <color theme="1"/>
        <rFont val="Calibri"/>
        <family val="2"/>
      </rPr>
      <t>2</t>
    </r>
  </si>
  <si>
    <r>
      <t>B</t>
    </r>
    <r>
      <rPr>
        <vertAlign val="subscript"/>
        <sz val="11"/>
        <color theme="1"/>
        <rFont val="Calibri"/>
        <family val="2"/>
        <scheme val="minor"/>
      </rPr>
      <t>2</t>
    </r>
  </si>
  <si>
    <r>
      <t>k</t>
    </r>
    <r>
      <rPr>
        <vertAlign val="subscript"/>
        <sz val="11"/>
        <color theme="1"/>
        <rFont val="Calibri"/>
        <family val="2"/>
        <scheme val="minor"/>
      </rPr>
      <t>b</t>
    </r>
    <r>
      <rPr>
        <sz val="11"/>
        <color theme="1"/>
        <rFont val="Calibri"/>
        <family val="2"/>
        <scheme val="minor"/>
      </rPr>
      <t xml:space="preserve"> (eV/K)</t>
    </r>
  </si>
  <si>
    <r>
      <t>E</t>
    </r>
    <r>
      <rPr>
        <vertAlign val="subscript"/>
        <sz val="11"/>
        <color theme="1"/>
        <rFont val="Calibri"/>
        <family val="2"/>
        <scheme val="minor"/>
      </rPr>
      <t>a</t>
    </r>
    <r>
      <rPr>
        <sz val="11"/>
        <color theme="1"/>
        <rFont val="Calibri"/>
        <family val="2"/>
        <scheme val="minor"/>
      </rPr>
      <t xml:space="preserve"> (eV)</t>
    </r>
  </si>
  <si>
    <r>
      <t>B</t>
    </r>
    <r>
      <rPr>
        <vertAlign val="subscript"/>
        <sz val="11"/>
        <color theme="1"/>
        <rFont val="Calibri"/>
        <family val="2"/>
        <scheme val="minor"/>
      </rPr>
      <t>0</t>
    </r>
  </si>
  <si>
    <r>
      <t>α</t>
    </r>
    <r>
      <rPr>
        <vertAlign val="subscript"/>
        <sz val="11"/>
        <color theme="1"/>
        <rFont val="Calibri"/>
        <family val="2"/>
      </rPr>
      <t>i</t>
    </r>
  </si>
  <si>
    <r>
      <t>T</t>
    </r>
    <r>
      <rPr>
        <vertAlign val="subscript"/>
        <sz val="11"/>
        <color theme="1"/>
        <rFont val="Calibri"/>
        <family val="2"/>
        <scheme val="minor"/>
      </rPr>
      <t>s,1</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</si>
  <si>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s,1</t>
    </r>
    <r>
      <rPr>
        <sz val="11"/>
        <color theme="1"/>
        <rFont val="Calibri"/>
        <family val="2"/>
        <scheme val="minor"/>
      </rPr>
      <t xml:space="preserve"> (K)</t>
    </r>
  </si>
  <si>
    <r>
      <t>T</t>
    </r>
    <r>
      <rPr>
        <vertAlign val="subscript"/>
        <sz val="11"/>
        <color theme="1"/>
        <rFont val="Calibri"/>
        <family val="2"/>
        <scheme val="minor"/>
      </rPr>
      <t>s,2</t>
    </r>
    <r>
      <rPr>
        <sz val="11"/>
        <color theme="1"/>
        <rFont val="Calibri"/>
        <family val="2"/>
        <scheme val="minor"/>
      </rPr>
      <t xml:space="preserve"> (K)</t>
    </r>
  </si>
  <si>
    <r>
      <t>α</t>
    </r>
    <r>
      <rPr>
        <vertAlign val="subscript"/>
        <sz val="11"/>
        <color theme="1"/>
        <rFont val="Calibri"/>
        <family val="2"/>
      </rPr>
      <t>2</t>
    </r>
  </si>
  <si>
    <r>
      <t>T</t>
    </r>
    <r>
      <rPr>
        <vertAlign val="subscript"/>
        <sz val="11"/>
        <color theme="1"/>
        <rFont val="Calibri"/>
        <family val="2"/>
        <scheme val="minor"/>
      </rPr>
      <t>s,i</t>
    </r>
    <r>
      <rPr>
        <sz val="11"/>
        <color theme="1"/>
        <rFont val="Calibri"/>
        <family val="2"/>
        <scheme val="minor"/>
      </rPr>
      <t xml:space="preserve"> (</t>
    </r>
    <r>
      <rPr>
        <sz val="11"/>
        <color theme="1"/>
        <rFont val="Calibri"/>
        <family val="2"/>
      </rPr>
      <t>⁰C</t>
    </r>
    <r>
      <rPr>
        <sz val="11"/>
        <color theme="1"/>
        <rFont val="Calibri"/>
        <family val="2"/>
        <scheme val="minor"/>
      </rPr>
      <t>)</t>
    </r>
  </si>
  <si>
    <r>
      <t>T</t>
    </r>
    <r>
      <rPr>
        <vertAlign val="subscript"/>
        <sz val="11"/>
        <color theme="1"/>
        <rFont val="Calibri"/>
        <family val="2"/>
        <scheme val="minor"/>
      </rPr>
      <t>s,i</t>
    </r>
    <r>
      <rPr>
        <sz val="11"/>
        <color theme="1"/>
        <rFont val="Calibri"/>
        <family val="2"/>
        <scheme val="minor"/>
      </rPr>
      <t xml:space="preserve"> (K)</t>
    </r>
  </si>
  <si>
    <t>Calculations:</t>
  </si>
  <si>
    <r>
      <t>T</t>
    </r>
    <r>
      <rPr>
        <vertAlign val="subscript"/>
        <sz val="11"/>
        <color theme="1"/>
        <rFont val="Calibri"/>
        <family val="2"/>
        <scheme val="minor"/>
      </rPr>
      <t>s,2</t>
    </r>
    <r>
      <rPr>
        <sz val="11"/>
        <color theme="1"/>
        <rFont val="Calibri"/>
        <family val="2"/>
        <scheme val="minor"/>
      </rPr>
      <t xml:space="preserve"> (⁰C)</t>
    </r>
  </si>
  <si>
    <r>
      <t>Minimum Case Temperature (T</t>
    </r>
    <r>
      <rPr>
        <vertAlign val="subscript"/>
        <sz val="11"/>
        <color theme="1"/>
        <rFont val="Calibri"/>
        <family val="2"/>
        <scheme val="minor"/>
      </rPr>
      <t>s,1</t>
    </r>
    <r>
      <rPr>
        <sz val="11"/>
        <color theme="1"/>
        <rFont val="Calibri"/>
        <family val="2"/>
        <scheme val="minor"/>
      </rPr>
      <t>) for Extrapolation (K):</t>
    </r>
  </si>
  <si>
    <r>
      <t>Maximum Case Temperature (T</t>
    </r>
    <r>
      <rPr>
        <vertAlign val="subscript"/>
        <sz val="11"/>
        <color theme="1"/>
        <rFont val="Calibri"/>
        <family val="2"/>
        <scheme val="minor"/>
      </rPr>
      <t>s,2</t>
    </r>
    <r>
      <rPr>
        <sz val="11"/>
        <color theme="1"/>
        <rFont val="Calibri"/>
        <family val="2"/>
        <scheme val="minor"/>
      </rPr>
      <t>) for Extrapolation (K):</t>
    </r>
  </si>
  <si>
    <r>
      <t>In Situ Case Temperature (T</t>
    </r>
    <r>
      <rPr>
        <vertAlign val="subscript"/>
        <sz val="11"/>
        <color theme="1"/>
        <rFont val="Calibri"/>
        <family val="2"/>
        <scheme val="minor"/>
      </rPr>
      <t>s,i</t>
    </r>
    <r>
      <rPr>
        <sz val="11"/>
        <color theme="1"/>
        <rFont val="Calibri"/>
        <family val="2"/>
        <scheme val="minor"/>
      </rPr>
      <t>) (K):</t>
    </r>
  </si>
  <si>
    <t>Number of Samples Tested:</t>
  </si>
  <si>
    <t>Number of Failures:</t>
  </si>
  <si>
    <t>DUT drive current used in the test (mA):</t>
  </si>
  <si>
    <t>Test duration (hrs):</t>
  </si>
  <si>
    <t>Test duration used for projection (hr to hr):</t>
  </si>
  <si>
    <t>Tested case temperature (⁰C):</t>
  </si>
  <si>
    <t>LM-80 Test Inputs</t>
  </si>
  <si>
    <t>Lumen maintenance at time (t) (%):</t>
  </si>
  <si>
    <t>LM-80 Testing Details</t>
  </si>
  <si>
    <t>Number of failures:</t>
  </si>
  <si>
    <t>Tested drive current (mA):</t>
  </si>
  <si>
    <r>
      <t>Tested case temperature 1 (T</t>
    </r>
    <r>
      <rPr>
        <vertAlign val="subscript"/>
        <sz val="14"/>
        <color theme="1"/>
        <rFont val="Arial"/>
        <family val="2"/>
      </rPr>
      <t>c</t>
    </r>
    <r>
      <rPr>
        <sz val="14"/>
        <color theme="1"/>
        <rFont val="Arial"/>
        <family val="2"/>
      </rPr>
      <t>, ⁰C):</t>
    </r>
  </si>
  <si>
    <r>
      <t>Tested case temperature 2 (T</t>
    </r>
    <r>
      <rPr>
        <vertAlign val="subscript"/>
        <sz val="14"/>
        <color theme="1"/>
        <rFont val="Arial"/>
        <family val="2"/>
      </rPr>
      <t>c</t>
    </r>
    <r>
      <rPr>
        <sz val="14"/>
        <color theme="1"/>
        <rFont val="Arial"/>
        <family val="2"/>
      </rPr>
      <t>, ⁰C):</t>
    </r>
  </si>
  <si>
    <r>
      <t>Tested case temperature 3 (T</t>
    </r>
    <r>
      <rPr>
        <vertAlign val="subscript"/>
        <sz val="14"/>
        <color theme="1"/>
        <rFont val="Arial"/>
        <family val="2"/>
      </rPr>
      <t>c</t>
    </r>
    <r>
      <rPr>
        <sz val="14"/>
        <color theme="1"/>
        <rFont val="Arial"/>
        <family val="2"/>
      </rPr>
      <t>, ⁰C):</t>
    </r>
  </si>
  <si>
    <r>
      <rPr>
        <b/>
        <sz val="18"/>
        <rFont val="Arial"/>
        <family val="2"/>
      </rPr>
      <t xml:space="preserve">       ENERGY STAR</t>
    </r>
    <r>
      <rPr>
        <b/>
        <vertAlign val="superscript"/>
        <sz val="18"/>
        <rFont val="Arial"/>
        <family val="2"/>
      </rPr>
      <t>®</t>
    </r>
    <r>
      <rPr>
        <b/>
        <sz val="18"/>
        <rFont val="Arial"/>
        <family val="2"/>
      </rPr>
      <t xml:space="preserve"> TM-21 Calculator</t>
    </r>
    <r>
      <rPr>
        <b/>
        <u/>
        <sz val="18"/>
        <rFont val="Arial"/>
        <family val="2"/>
      </rPr>
      <t xml:space="preserve">
</t>
    </r>
  </si>
  <si>
    <t>Lumen Maintenance (%)</t>
  </si>
  <si>
    <t>Description of LED Light Source Tested 
(manufacturer, model, catalog number)</t>
  </si>
  <si>
    <t>Instructions</t>
  </si>
  <si>
    <t>Table 1: Report at each LM-80 Test Condition</t>
  </si>
  <si>
    <t>Table 2: Report for Interpolation (based on in-situ temperature)</t>
  </si>
  <si>
    <t>Tested case temperature (⁰C)</t>
  </si>
  <si>
    <t>α</t>
  </si>
  <si>
    <t>B</t>
  </si>
  <si>
    <t>DUT drive current used in the test (mA)</t>
  </si>
  <si>
    <t>Number of failures</t>
  </si>
  <si>
    <t>Sample size</t>
  </si>
  <si>
    <t>Test duration (hours)</t>
  </si>
  <si>
    <t>Test duration used for projection (hour to hour)</t>
  </si>
  <si>
    <r>
      <t>T</t>
    </r>
    <r>
      <rPr>
        <vertAlign val="subscript"/>
        <sz val="11"/>
        <color theme="1"/>
        <rFont val="Arial"/>
        <family val="2"/>
      </rPr>
      <t>s,1</t>
    </r>
    <r>
      <rPr>
        <sz val="11"/>
        <color theme="1"/>
        <rFont val="Arial"/>
        <family val="2"/>
      </rPr>
      <t xml:space="preserve"> (⁰C)</t>
    </r>
  </si>
  <si>
    <r>
      <t>T</t>
    </r>
    <r>
      <rPr>
        <vertAlign val="subscript"/>
        <sz val="11"/>
        <color theme="1"/>
        <rFont val="Arial"/>
        <family val="2"/>
      </rPr>
      <t>s,1</t>
    </r>
    <r>
      <rPr>
        <sz val="11"/>
        <color theme="1"/>
        <rFont val="Arial"/>
        <family val="2"/>
      </rPr>
      <t xml:space="preserve"> (K)</t>
    </r>
  </si>
  <si>
    <r>
      <t>α</t>
    </r>
    <r>
      <rPr>
        <vertAlign val="subscript"/>
        <sz val="11"/>
        <color theme="1"/>
        <rFont val="Arial"/>
        <family val="2"/>
      </rPr>
      <t>1</t>
    </r>
  </si>
  <si>
    <r>
      <t>B</t>
    </r>
    <r>
      <rPr>
        <vertAlign val="subscript"/>
        <sz val="11"/>
        <color theme="1"/>
        <rFont val="Arial"/>
        <family val="2"/>
      </rPr>
      <t>1</t>
    </r>
  </si>
  <si>
    <r>
      <t>T</t>
    </r>
    <r>
      <rPr>
        <vertAlign val="subscript"/>
        <sz val="11"/>
        <color theme="1"/>
        <rFont val="Arial"/>
        <family val="2"/>
      </rPr>
      <t>s,2</t>
    </r>
    <r>
      <rPr>
        <sz val="11"/>
        <color theme="1"/>
        <rFont val="Arial"/>
        <family val="2"/>
      </rPr>
      <t xml:space="preserve"> (⁰C)</t>
    </r>
  </si>
  <si>
    <r>
      <t>T</t>
    </r>
    <r>
      <rPr>
        <vertAlign val="subscript"/>
        <sz val="11"/>
        <color theme="1"/>
        <rFont val="Arial"/>
        <family val="2"/>
      </rPr>
      <t>s,2</t>
    </r>
    <r>
      <rPr>
        <sz val="11"/>
        <color theme="1"/>
        <rFont val="Arial"/>
        <family val="2"/>
      </rPr>
      <t xml:space="preserve"> (K)</t>
    </r>
  </si>
  <si>
    <r>
      <t>α</t>
    </r>
    <r>
      <rPr>
        <vertAlign val="subscript"/>
        <sz val="11"/>
        <color theme="1"/>
        <rFont val="Arial"/>
        <family val="2"/>
      </rPr>
      <t>2</t>
    </r>
  </si>
  <si>
    <r>
      <t>B</t>
    </r>
    <r>
      <rPr>
        <vertAlign val="subscript"/>
        <sz val="11"/>
        <color theme="1"/>
        <rFont val="Arial"/>
        <family val="2"/>
      </rPr>
      <t>2</t>
    </r>
  </si>
  <si>
    <r>
      <t>E</t>
    </r>
    <r>
      <rPr>
        <vertAlign val="subscript"/>
        <sz val="11"/>
        <color theme="1"/>
        <rFont val="Arial"/>
        <family val="2"/>
      </rPr>
      <t>a</t>
    </r>
    <r>
      <rPr>
        <sz val="11"/>
        <color theme="1"/>
        <rFont val="Arial"/>
        <family val="2"/>
      </rPr>
      <t>/k</t>
    </r>
    <r>
      <rPr>
        <vertAlign val="subscript"/>
        <sz val="11"/>
        <color theme="1"/>
        <rFont val="Arial"/>
        <family val="2"/>
      </rPr>
      <t>b</t>
    </r>
  </si>
  <si>
    <r>
      <t>B</t>
    </r>
    <r>
      <rPr>
        <vertAlign val="subscript"/>
        <sz val="11"/>
        <color theme="1"/>
        <rFont val="Arial"/>
        <family val="2"/>
      </rPr>
      <t>0</t>
    </r>
  </si>
  <si>
    <r>
      <t>T</t>
    </r>
    <r>
      <rPr>
        <vertAlign val="subscript"/>
        <sz val="11"/>
        <color theme="1"/>
        <rFont val="Arial"/>
        <family val="2"/>
      </rPr>
      <t>s,i</t>
    </r>
    <r>
      <rPr>
        <sz val="11"/>
        <color theme="1"/>
        <rFont val="Arial"/>
        <family val="2"/>
      </rPr>
      <t xml:space="preserve"> (⁰C)</t>
    </r>
  </si>
  <si>
    <r>
      <t>T</t>
    </r>
    <r>
      <rPr>
        <vertAlign val="subscript"/>
        <sz val="11"/>
        <color theme="1"/>
        <rFont val="Arial"/>
        <family val="2"/>
      </rPr>
      <t>s,i</t>
    </r>
    <r>
      <rPr>
        <sz val="11"/>
        <color theme="1"/>
        <rFont val="Arial"/>
        <family val="2"/>
      </rPr>
      <t xml:space="preserve"> (K)</t>
    </r>
  </si>
  <si>
    <r>
      <t>α</t>
    </r>
    <r>
      <rPr>
        <vertAlign val="subscript"/>
        <sz val="11"/>
        <color theme="1"/>
        <rFont val="Arial"/>
        <family val="2"/>
      </rPr>
      <t>i</t>
    </r>
  </si>
  <si>
    <t>TM-21 Inputs</t>
  </si>
  <si>
    <t>Table 2: Interpolation Report</t>
  </si>
  <si>
    <t>Time (hours)</t>
  </si>
  <si>
    <t>Test duration (hours):</t>
  </si>
  <si>
    <t>Number of units measured:</t>
  </si>
  <si>
    <r>
      <t xml:space="preserve">(projection based on </t>
    </r>
    <r>
      <rPr>
        <b/>
        <i/>
        <sz val="11"/>
        <color theme="0"/>
        <rFont val="Arial"/>
        <family val="2"/>
      </rPr>
      <t>in-situ</t>
    </r>
    <r>
      <rPr>
        <b/>
        <sz val="11"/>
        <color theme="0"/>
        <rFont val="Arial"/>
        <family val="2"/>
      </rPr>
      <t xml:space="preserve"> temperature entered)</t>
    </r>
  </si>
  <si>
    <t>Total number of units tested per case temperature:</t>
  </si>
  <si>
    <t>TM-21 Report</t>
  </si>
  <si>
    <t>Description of LED Light Source Tested (manufacturer, model, 
catalog number)</t>
  </si>
  <si>
    <r>
      <rPr>
        <b/>
        <i/>
        <sz val="20"/>
        <color theme="1"/>
        <rFont val="Arial"/>
        <family val="2"/>
      </rPr>
      <t xml:space="preserve">In-Situ </t>
    </r>
    <r>
      <rPr>
        <b/>
        <sz val="20"/>
        <color theme="1"/>
        <rFont val="Arial"/>
        <family val="2"/>
      </rPr>
      <t>Inputs</t>
    </r>
  </si>
  <si>
    <t>Time (t) at which to estimate lumen maintenance (hours):</t>
  </si>
  <si>
    <t>Drive current for each 
LED package/array/module (mA):</t>
  </si>
  <si>
    <r>
      <rPr>
        <i/>
        <sz val="14"/>
        <color theme="1"/>
        <rFont val="Arial"/>
        <family val="2"/>
      </rPr>
      <t>In-situ</t>
    </r>
    <r>
      <rPr>
        <sz val="14"/>
        <color theme="1"/>
        <rFont val="Arial"/>
        <family val="2"/>
      </rPr>
      <t xml:space="preserve"> case temperature (T</t>
    </r>
    <r>
      <rPr>
        <vertAlign val="subscript"/>
        <sz val="14"/>
        <color theme="1"/>
        <rFont val="Arial"/>
        <family val="2"/>
      </rPr>
      <t>c</t>
    </r>
    <r>
      <rPr>
        <sz val="14"/>
        <color theme="1"/>
        <rFont val="Arial"/>
        <family val="2"/>
      </rPr>
      <t>, ⁰C):</t>
    </r>
  </si>
  <si>
    <r>
      <t>Percentage of initial lumens to project to (e.g. for L</t>
    </r>
    <r>
      <rPr>
        <vertAlign val="subscript"/>
        <sz val="14"/>
        <color theme="1"/>
        <rFont val="Arial"/>
        <family val="2"/>
      </rPr>
      <t>70</t>
    </r>
    <r>
      <rPr>
        <sz val="14"/>
        <color theme="1"/>
        <rFont val="Arial"/>
        <family val="2"/>
      </rPr>
      <t>, enter 70):</t>
    </r>
  </si>
  <si>
    <r>
      <t xml:space="preserve">Yellow fields are completed by the user.  Fields not used should be left blank.  Cyan fields are calculated based on user entries.
First, enter a description of the LED light source tested.  Then complete the fields labeled "LM-80 Testing Details".  Test duration must be at least 6,000 hours.  If only one case temperature data set is to be used (no interpolation), complete only "Tested case temperature 1".  For only two case temperature data sets, complete 1 and 2. 
Next, further to the right, in the corresponding box(es) for each tested case temperature, enter the test data along with the time (in hours) at which each measurement was taken.  Data entered must be normalized then averaged measured data (per TM-21 sections 5.2.1 and 5.2.2). If case temperatures have different test durations, enter data up to the lowest of the test durations for all of the case temperatures.
Enter drive current, </t>
    </r>
    <r>
      <rPr>
        <i/>
        <sz val="14"/>
        <color theme="1"/>
        <rFont val="Arial"/>
        <family val="2"/>
      </rPr>
      <t>in-situ</t>
    </r>
    <r>
      <rPr>
        <sz val="14"/>
        <color theme="1"/>
        <rFont val="Arial"/>
        <family val="2"/>
      </rPr>
      <t xml:space="preserve"> temperature data and the percentage of initial lumens to project to in the fields labeled "</t>
    </r>
    <r>
      <rPr>
        <i/>
        <sz val="14"/>
        <color theme="1"/>
        <rFont val="Arial"/>
        <family val="2"/>
      </rPr>
      <t>In-Situ</t>
    </r>
    <r>
      <rPr>
        <sz val="14"/>
        <color theme="1"/>
        <rFont val="Arial"/>
        <family val="2"/>
      </rPr>
      <t xml:space="preserve"> Inputs".
Results can be tailored to estimate lumen maintenance at a specific time by entering a value (t) in the yellow field. A complete TM-21 report will appear on the next tab labeled "Report".</t>
    </r>
  </si>
  <si>
    <t>Interval</t>
  </si>
  <si>
    <t>Interval Dif.</t>
  </si>
  <si>
    <r>
      <rPr>
        <b/>
        <sz val="12"/>
        <color theme="1"/>
        <rFont val="Arial"/>
        <family val="2"/>
      </rPr>
      <t>Note: Users should download a new copy of this calculator for each use, to ensure use of the most up-to-date version of the calculator.  Users are encouraged to bookmark the hyperlink to this calculator.  Project-specific copies complete with calculations may be saved on a local drive.</t>
    </r>
    <r>
      <rPr>
        <sz val="14"/>
        <color theme="1"/>
        <rFont val="Arial"/>
        <family val="2"/>
      </rPr>
      <t xml:space="preserve">
</t>
    </r>
    <r>
      <rPr>
        <sz val="10"/>
        <color theme="1"/>
        <rFont val="Arial"/>
        <family val="2"/>
      </rPr>
      <t xml:space="preserve"> </t>
    </r>
    <r>
      <rPr>
        <sz val="14"/>
        <color theme="1"/>
        <rFont val="Arial"/>
        <family val="2"/>
      </rPr>
      <t xml:space="preserve">
</t>
    </r>
    <r>
      <rPr>
        <sz val="12"/>
        <color theme="1"/>
        <rFont val="Arial"/>
        <family val="2"/>
      </rPr>
      <t xml:space="preserve">This calculator is based on the Illuminating Engineering Society’s TM-21-11: </t>
    </r>
    <r>
      <rPr>
        <i/>
        <sz val="12"/>
        <color theme="1"/>
        <rFont val="Arial"/>
        <family val="2"/>
      </rPr>
      <t xml:space="preserve">Projecting Long Term Lumen Maintenance of LED Light Sources </t>
    </r>
    <r>
      <rPr>
        <sz val="12"/>
        <color theme="1"/>
        <rFont val="Arial"/>
        <family val="2"/>
      </rPr>
      <t xml:space="preserve">and </t>
    </r>
    <r>
      <rPr>
        <i/>
        <sz val="12"/>
        <color theme="1"/>
        <rFont val="Arial"/>
        <family val="2"/>
      </rPr>
      <t>Addendum A for TM-21-11: Projecting Long Term Lumen Maintenance of LED Packages</t>
    </r>
    <r>
      <rPr>
        <sz val="12"/>
        <color theme="1"/>
        <rFont val="Arial"/>
        <family val="2"/>
      </rPr>
      <t>. Calculator results have been reviewed by the U.S. National Institute of Standards and Technology (NIST). Calculations are locked; only data entry cells may be modified.
Calculator inputs are entered on the second tab, with instructions. The calculator may be used with one, two or three case temperatures. Inputting values on the second tab generates a complete TM-21 report on the Report tab.
For calculating data with different test period lengths, use data from the time period equal to the shortest time period for all temperatures.
Questions may be directed to lighting@energystar.gov.</t>
    </r>
  </si>
  <si>
    <t>Report Generated By:  Diego Armando Palacios</t>
  </si>
  <si>
    <t>Company: Roy Alpha</t>
  </si>
  <si>
    <t>Date:2026/06/01</t>
  </si>
  <si>
    <t>RALED III 80 LED 235W (Se evalua en ta de 25°C)                                                                          UHE Y DA-UHE LM-80-15 OSCONIQ S 5050 GTG REPORT ANSI/IES LM-80-20 800mA 17000H Test Report.N01A240811172L00101, COD. LAB: 26-0295, Corriente Driver:943.5mA, Cada Modulo:943.5mA, Corriente LED:471.75mA</t>
  </si>
  <si>
    <t>Notes: Lumen maintenance is above 80% @100000 prediction (=90.78%)
B10 de acuerdo con la ficha técnica del módulo Fortimo Fast Flex 2x8 
DA-UHE (adjunta).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</si>
</sst>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E+00"/>
    <numFmt numFmtId="166" formatCode="0.00000"/>
    <numFmt numFmtId="167" formatCode="0.0000E+00"/>
    <numFmt numFmtId="168" formatCode="0.00000E+00"/>
    <numFmt numFmtId="169" formatCode="_(* #,##0_);_(* \(#,##0\);_(* &quot;-&quot;??_);_(@_)"/>
    <numFmt numFmtId="170" formatCode="0.000"/>
    <numFmt numFmtId="171" formatCode="0.0000"/>
  </numFmts>
  <fonts count="41" x14ac:knownFonts="1">
    <font>
      <sz val="11"/>
      <color theme="1"/>
      <name val="Calibri"/>
      <family val="2"/>
      <scheme val="minor"/>
    </font>
    <font>
      <sz val="11"/>
      <color theme="1"/>
      <name val="Calibri"/>
      <family val="2"/>
      <scheme val="minor"/>
    </font>
    <font>
      <sz val="11"/>
      <color theme="1"/>
      <name val="Calibri"/>
      <family val="2"/>
    </font>
    <font>
      <sz val="12"/>
      <color theme="0"/>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vertAlign val="subscript"/>
      <sz val="11"/>
      <color theme="1"/>
      <name val="Calibri"/>
      <family val="2"/>
      <scheme val="minor"/>
    </font>
    <font>
      <vertAlign val="subscript"/>
      <sz val="9.35"/>
      <color theme="1"/>
      <name val="Calibri"/>
      <family val="2"/>
    </font>
    <font>
      <vertAlign val="subscript"/>
      <sz val="11"/>
      <color theme="1"/>
      <name val="Calibri"/>
      <family val="2"/>
    </font>
    <font>
      <sz val="11"/>
      <color theme="0" tint="-0.249977111117893"/>
      <name val="Calibri"/>
      <family val="2"/>
      <scheme val="minor"/>
    </font>
    <font>
      <sz val="14"/>
      <color theme="1"/>
      <name val="Calibri"/>
      <family val="2"/>
      <scheme val="minor"/>
    </font>
    <font>
      <sz val="11"/>
      <color theme="1"/>
      <name val="Arial"/>
      <family val="2"/>
    </font>
    <font>
      <b/>
      <sz val="18"/>
      <name val="Arial"/>
      <family val="2"/>
    </font>
    <font>
      <b/>
      <sz val="14"/>
      <color theme="1"/>
      <name val="Arial"/>
      <family val="2"/>
    </font>
    <font>
      <sz val="16"/>
      <color theme="1"/>
      <name val="Arial"/>
      <family val="2"/>
    </font>
    <font>
      <sz val="12"/>
      <color theme="1"/>
      <name val="Arial"/>
      <family val="2"/>
    </font>
    <font>
      <b/>
      <vertAlign val="superscript"/>
      <sz val="18"/>
      <name val="Arial"/>
      <family val="2"/>
    </font>
    <font>
      <i/>
      <sz val="12"/>
      <color theme="1"/>
      <name val="Arial"/>
      <family val="2"/>
    </font>
    <font>
      <sz val="14"/>
      <color theme="1"/>
      <name val="Arial"/>
      <family val="2"/>
    </font>
    <font>
      <sz val="14"/>
      <color theme="0"/>
      <name val="Arial"/>
      <family val="2"/>
    </font>
    <font>
      <b/>
      <sz val="11"/>
      <color theme="1"/>
      <name val="Arial"/>
      <family val="2"/>
    </font>
    <font>
      <sz val="14"/>
      <color rgb="FFFF0000"/>
      <name val="Arial"/>
      <family val="2"/>
    </font>
    <font>
      <sz val="11"/>
      <color rgb="FFFF0000"/>
      <name val="Arial"/>
      <family val="2"/>
    </font>
    <font>
      <sz val="12"/>
      <color rgb="FFFF0000"/>
      <name val="Arial"/>
      <family val="2"/>
    </font>
    <font>
      <i/>
      <sz val="14"/>
      <color theme="1"/>
      <name val="Arial"/>
      <family val="2"/>
    </font>
    <font>
      <vertAlign val="subscript"/>
      <sz val="14"/>
      <color theme="1"/>
      <name val="Arial"/>
      <family val="2"/>
    </font>
    <font>
      <b/>
      <sz val="20"/>
      <color theme="1"/>
      <name val="Arial"/>
      <family val="2"/>
    </font>
    <font>
      <b/>
      <sz val="20"/>
      <color theme="1"/>
      <name val="Calibri"/>
      <family val="2"/>
      <scheme val="minor"/>
    </font>
    <font>
      <b/>
      <sz val="28"/>
      <color theme="1"/>
      <name val="Arial"/>
      <family val="2"/>
    </font>
    <font>
      <b/>
      <i/>
      <sz val="20"/>
      <color theme="1"/>
      <name val="Arial"/>
      <family val="2"/>
    </font>
    <font>
      <b/>
      <u/>
      <sz val="18"/>
      <name val="Arial"/>
      <family val="2"/>
    </font>
    <font>
      <b/>
      <sz val="22"/>
      <color theme="1"/>
      <name val="Arial"/>
      <family val="2"/>
    </font>
    <font>
      <b/>
      <sz val="11"/>
      <name val="Arial"/>
      <family val="2"/>
    </font>
    <font>
      <sz val="11"/>
      <name val="Arial"/>
      <family val="2"/>
    </font>
    <font>
      <b/>
      <sz val="11"/>
      <color theme="0"/>
      <name val="Arial"/>
      <family val="2"/>
    </font>
    <font>
      <vertAlign val="subscript"/>
      <sz val="11"/>
      <color theme="1"/>
      <name val="Arial"/>
      <family val="2"/>
    </font>
    <font>
      <b/>
      <i/>
      <sz val="11"/>
      <color theme="0"/>
      <name val="Arial"/>
      <family val="2"/>
    </font>
    <font>
      <sz val="10"/>
      <color theme="1"/>
      <name val="Arial"/>
      <family val="2"/>
    </font>
    <font>
      <b/>
      <sz val="12"/>
      <color theme="1"/>
      <name val="Arial"/>
      <family val="2"/>
    </font>
    <font>
      <sz val="8"/>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24994659260841701"/>
        <bgColor indexed="64"/>
      </patternFill>
    </fill>
    <fill>
      <patternFill patternType="solid">
        <fgColor rgb="FF00B7EB"/>
        <bgColor indexed="64"/>
      </patternFill>
    </fill>
    <fill>
      <patternFill patternType="solid">
        <fgColor theme="0"/>
        <bgColor theme="0"/>
      </patternFill>
    </fill>
    <fill>
      <patternFill patternType="solid">
        <fgColor indexed="65"/>
        <bgColor theme="0"/>
      </patternFill>
    </fill>
    <fill>
      <patternFill patternType="solid">
        <fgColor theme="1"/>
        <bgColor indexed="64"/>
      </patternFill>
    </fill>
  </fills>
  <borders count="8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dashed">
        <color theme="0" tint="-0.34998626667073579"/>
      </bottom>
      <diagonal/>
    </border>
    <border>
      <left style="dashed">
        <color auto="1"/>
      </left>
      <right style="medium">
        <color auto="1"/>
      </right>
      <top style="dashed">
        <color theme="0" tint="-0.34998626667073579"/>
      </top>
      <bottom style="dashed">
        <color theme="0" tint="-0.34998626667073579"/>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ashed">
        <color auto="1"/>
      </left>
      <right style="dashed">
        <color auto="1"/>
      </right>
      <top style="thin">
        <color auto="1"/>
      </top>
      <bottom style="dashed">
        <color theme="0" tint="-0.34998626667073579"/>
      </bottom>
      <diagonal/>
    </border>
    <border>
      <left style="dashed">
        <color auto="1"/>
      </left>
      <right style="dashed">
        <color auto="1"/>
      </right>
      <top style="dashed">
        <color theme="0" tint="-0.34998626667073579"/>
      </top>
      <bottom style="dashed">
        <color theme="0" tint="-0.34998626667073579"/>
      </bottom>
      <diagonal/>
    </border>
    <border>
      <left style="dashed">
        <color auto="1"/>
      </left>
      <right style="dashed">
        <color auto="1"/>
      </right>
      <top style="dashed">
        <color theme="0" tint="-0.34998626667073579"/>
      </top>
      <bottom style="thin">
        <color auto="1"/>
      </bottom>
      <diagonal/>
    </border>
    <border>
      <left style="dashed">
        <color auto="1"/>
      </left>
      <right style="medium">
        <color auto="1"/>
      </right>
      <top style="dashed">
        <color theme="0" tint="-0.34998626667073579"/>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right style="dashed">
        <color auto="1"/>
      </right>
      <top style="thin">
        <color auto="1"/>
      </top>
      <bottom style="medium">
        <color auto="1"/>
      </bottom>
      <diagonal/>
    </border>
    <border>
      <left/>
      <right style="medium">
        <color auto="1"/>
      </right>
      <top style="dashed">
        <color theme="0" tint="-0.34998626667073579"/>
      </top>
      <bottom style="dashed">
        <color theme="0" tint="-0.34998626667073579"/>
      </bottom>
      <diagonal/>
    </border>
    <border>
      <left/>
      <right style="medium">
        <color auto="1"/>
      </right>
      <top style="dashed">
        <color theme="0" tint="-0.34998626667073579"/>
      </top>
      <bottom style="medium">
        <color auto="1"/>
      </bottom>
      <diagonal/>
    </border>
    <border>
      <left style="medium">
        <color auto="1"/>
      </left>
      <right style="thin">
        <color auto="1"/>
      </right>
      <top style="thin">
        <color auto="1"/>
      </top>
      <bottom style="medium">
        <color auto="1"/>
      </bottom>
      <diagonal/>
    </border>
    <border>
      <left/>
      <right style="medium">
        <color auto="1"/>
      </right>
      <top/>
      <bottom style="dashed">
        <color theme="0" tint="-0.34998626667073579"/>
      </bottom>
      <diagonal/>
    </border>
    <border>
      <left style="medium">
        <color auto="1"/>
      </left>
      <right style="thin">
        <color auto="1"/>
      </right>
      <top style="thin">
        <color auto="1"/>
      </top>
      <bottom style="dashed">
        <color theme="0" tint="-0.34998626667073579"/>
      </bottom>
      <diagonal/>
    </border>
    <border>
      <left style="medium">
        <color auto="1"/>
      </left>
      <right style="thin">
        <color auto="1"/>
      </right>
      <top style="dashed">
        <color theme="0" tint="-0.34998626667073579"/>
      </top>
      <bottom style="dashed">
        <color theme="0" tint="-0.34998626667073579"/>
      </bottom>
      <diagonal/>
    </border>
    <border>
      <left style="medium">
        <color auto="1"/>
      </left>
      <right style="thin">
        <color auto="1"/>
      </right>
      <top style="dashed">
        <color theme="0" tint="-0.34998626667073579"/>
      </top>
      <bottom style="medium">
        <color auto="1"/>
      </bottom>
      <diagonal/>
    </border>
    <border>
      <left/>
      <right style="dashed">
        <color auto="1"/>
      </right>
      <top style="thin">
        <color auto="1"/>
      </top>
      <bottom style="thin">
        <color auto="1"/>
      </bottom>
      <diagonal/>
    </border>
    <border>
      <left/>
      <right style="dashed">
        <color auto="1"/>
      </right>
      <top style="thin">
        <color auto="1"/>
      </top>
      <bottom style="dashed">
        <color theme="0" tint="-0.34998626667073579"/>
      </bottom>
      <diagonal/>
    </border>
    <border>
      <left/>
      <right style="dashed">
        <color auto="1"/>
      </right>
      <top style="dashed">
        <color theme="0" tint="-0.34998626667073579"/>
      </top>
      <bottom style="dashed">
        <color theme="0" tint="-0.34998626667073579"/>
      </bottom>
      <diagonal/>
    </border>
    <border>
      <left/>
      <right style="dashed">
        <color auto="1"/>
      </right>
      <top style="dashed">
        <color theme="0" tint="-0.34998626667073579"/>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dashed">
        <color theme="0" tint="-0.34998626667073579"/>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dashed">
        <color auto="1"/>
      </right>
      <top style="thin">
        <color auto="1"/>
      </top>
      <bottom style="dashed">
        <color theme="0" tint="-0.24994659260841701"/>
      </bottom>
      <diagonal/>
    </border>
    <border>
      <left style="dashed">
        <color auto="1"/>
      </left>
      <right style="thin">
        <color auto="1"/>
      </right>
      <top style="thin">
        <color auto="1"/>
      </top>
      <bottom style="dashed">
        <color theme="0" tint="-0.24994659260841701"/>
      </bottom>
      <diagonal/>
    </border>
    <border>
      <left style="medium">
        <color auto="1"/>
      </left>
      <right style="dashed">
        <color auto="1"/>
      </right>
      <top style="dashed">
        <color theme="0" tint="-0.24994659260841701"/>
      </top>
      <bottom style="dashed">
        <color theme="0" tint="-0.24994659260841701"/>
      </bottom>
      <diagonal/>
    </border>
    <border>
      <left style="dashed">
        <color auto="1"/>
      </left>
      <right style="thin">
        <color auto="1"/>
      </right>
      <top style="dashed">
        <color theme="0" tint="-0.24994659260841701"/>
      </top>
      <bottom style="dashed">
        <color theme="0" tint="-0.24994659260841701"/>
      </bottom>
      <diagonal/>
    </border>
    <border>
      <left style="medium">
        <color auto="1"/>
      </left>
      <right style="dashed">
        <color auto="1"/>
      </right>
      <top style="dashed">
        <color theme="0" tint="-0.24994659260841701"/>
      </top>
      <bottom style="medium">
        <color auto="1"/>
      </bottom>
      <diagonal/>
    </border>
    <border>
      <left style="dashed">
        <color auto="1"/>
      </left>
      <right style="thin">
        <color auto="1"/>
      </right>
      <top style="dashed">
        <color theme="0" tint="-0.24994659260841701"/>
      </top>
      <bottom style="medium">
        <color auto="1"/>
      </bottom>
      <diagonal/>
    </border>
    <border>
      <left style="thin">
        <color auto="1"/>
      </left>
      <right style="dashed">
        <color auto="1"/>
      </right>
      <top style="thin">
        <color auto="1"/>
      </top>
      <bottom style="dashed">
        <color theme="0" tint="-0.24994659260841701"/>
      </bottom>
      <diagonal/>
    </border>
    <border>
      <left style="thin">
        <color auto="1"/>
      </left>
      <right style="dashed">
        <color auto="1"/>
      </right>
      <top style="dashed">
        <color theme="0" tint="-0.24994659260841701"/>
      </top>
      <bottom style="dashed">
        <color theme="0" tint="-0.24994659260841701"/>
      </bottom>
      <diagonal/>
    </border>
    <border>
      <left style="thin">
        <color auto="1"/>
      </left>
      <right style="dashed">
        <color auto="1"/>
      </right>
      <top style="dashed">
        <color theme="0" tint="-0.24994659260841701"/>
      </top>
      <bottom style="medium">
        <color auto="1"/>
      </bottom>
      <diagonal/>
    </border>
    <border>
      <left style="dashed">
        <color auto="1"/>
      </left>
      <right style="medium">
        <color auto="1"/>
      </right>
      <top style="thin">
        <color auto="1"/>
      </top>
      <bottom style="dashed">
        <color theme="0" tint="-0.24994659260841701"/>
      </bottom>
      <diagonal/>
    </border>
    <border>
      <left style="dashed">
        <color auto="1"/>
      </left>
      <right style="medium">
        <color auto="1"/>
      </right>
      <top style="dashed">
        <color theme="0" tint="-0.24994659260841701"/>
      </top>
      <bottom style="dashed">
        <color theme="0" tint="-0.24994659260841701"/>
      </bottom>
      <diagonal/>
    </border>
    <border>
      <left style="dashed">
        <color auto="1"/>
      </left>
      <right style="medium">
        <color auto="1"/>
      </right>
      <top style="dashed">
        <color theme="0" tint="-0.24994659260841701"/>
      </top>
      <bottom style="medium">
        <color auto="1"/>
      </bottom>
      <diagonal/>
    </border>
    <border>
      <left style="medium">
        <color auto="1"/>
      </left>
      <right style="thin">
        <color auto="1"/>
      </right>
      <top style="medium">
        <color auto="1"/>
      </top>
      <bottom style="dashed">
        <color theme="0" tint="-0.24994659260841701"/>
      </bottom>
      <diagonal/>
    </border>
    <border>
      <left style="thin">
        <color auto="1"/>
      </left>
      <right style="medium">
        <color auto="1"/>
      </right>
      <top style="medium">
        <color auto="1"/>
      </top>
      <bottom style="dashed">
        <color theme="0" tint="-0.24994659260841701"/>
      </bottom>
      <diagonal/>
    </border>
    <border>
      <left style="medium">
        <color auto="1"/>
      </left>
      <right style="thin">
        <color auto="1"/>
      </right>
      <top style="dashed">
        <color theme="0" tint="-0.24994659260841701"/>
      </top>
      <bottom style="dashed">
        <color theme="0" tint="-0.24994659260841701"/>
      </bottom>
      <diagonal/>
    </border>
    <border>
      <left style="thin">
        <color auto="1"/>
      </left>
      <right style="medium">
        <color auto="1"/>
      </right>
      <top style="dashed">
        <color theme="0" tint="-0.24994659260841701"/>
      </top>
      <bottom style="dashed">
        <color theme="0" tint="-0.24994659260841701"/>
      </bottom>
      <diagonal/>
    </border>
    <border>
      <left style="medium">
        <color auto="1"/>
      </left>
      <right style="thin">
        <color auto="1"/>
      </right>
      <top style="dashed">
        <color theme="0" tint="-0.24994659260841701"/>
      </top>
      <bottom style="medium">
        <color auto="1"/>
      </bottom>
      <diagonal/>
    </border>
    <border>
      <left style="thin">
        <color auto="1"/>
      </left>
      <right style="medium">
        <color auto="1"/>
      </right>
      <top style="dashed">
        <color theme="0" tint="-0.24994659260841701"/>
      </top>
      <bottom style="medium">
        <color auto="1"/>
      </bottom>
      <diagonal/>
    </border>
    <border>
      <left style="medium">
        <color auto="1"/>
      </left>
      <right/>
      <top style="dashed">
        <color theme="0" tint="-0.24994659260841701"/>
      </top>
      <bottom style="dashed">
        <color theme="0" tint="-0.24994659260841701"/>
      </bottom>
      <diagonal/>
    </border>
    <border>
      <left style="medium">
        <color auto="1"/>
      </left>
      <right/>
      <top style="dashed">
        <color theme="0" tint="-0.24994659260841701"/>
      </top>
      <bottom style="medium">
        <color auto="1"/>
      </bottom>
      <diagonal/>
    </border>
    <border>
      <left style="medium">
        <color auto="1"/>
      </left>
      <right/>
      <top style="medium">
        <color auto="1"/>
      </top>
      <bottom style="dashed">
        <color theme="0" tint="-0.2499465926084170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dashed">
        <color theme="0" tint="-0.24994659260841701"/>
      </bottom>
      <diagonal/>
    </border>
    <border>
      <left style="medium">
        <color auto="1"/>
      </left>
      <right style="medium">
        <color auto="1"/>
      </right>
      <top style="medium">
        <color auto="1"/>
      </top>
      <bottom style="dashed">
        <color theme="0" tint="-0.24994659260841701"/>
      </bottom>
      <diagonal/>
    </border>
    <border>
      <left style="medium">
        <color auto="1"/>
      </left>
      <right style="medium">
        <color auto="1"/>
      </right>
      <top style="dashed">
        <color theme="0" tint="-0.24994659260841701"/>
      </top>
      <bottom style="dashed">
        <color theme="0" tint="-0.24994659260841701"/>
      </bottom>
      <diagonal/>
    </border>
    <border>
      <left style="medium">
        <color auto="1"/>
      </left>
      <right style="medium">
        <color auto="1"/>
      </right>
      <top style="dashed">
        <color theme="0" tint="-0.24994659260841701"/>
      </top>
      <bottom style="medium">
        <color auto="1"/>
      </bottom>
      <diagonal/>
    </border>
    <border>
      <left style="medium">
        <color auto="1"/>
      </left>
      <right style="dashed">
        <color auto="1"/>
      </right>
      <top/>
      <bottom style="dashed">
        <color theme="0" tint="-0.24994659260841701"/>
      </bottom>
      <diagonal/>
    </border>
    <border>
      <left style="dashed">
        <color auto="1"/>
      </left>
      <right style="medium">
        <color auto="1"/>
      </right>
      <top/>
      <bottom style="dashed">
        <color theme="0" tint="-0.24994659260841701"/>
      </bottom>
      <diagonal/>
    </border>
    <border>
      <left style="medium">
        <color auto="1"/>
      </left>
      <right style="thin">
        <color auto="1"/>
      </right>
      <top/>
      <bottom style="dashed">
        <color theme="0" tint="-0.24994659260841701"/>
      </bottom>
      <diagonal/>
    </border>
    <border>
      <left style="thin">
        <color auto="1"/>
      </left>
      <right style="medium">
        <color auto="1"/>
      </right>
      <top/>
      <bottom style="dashed">
        <color theme="0" tint="-0.24994659260841701"/>
      </bottom>
      <diagonal/>
    </border>
    <border>
      <left style="medium">
        <color auto="1"/>
      </left>
      <right style="thin">
        <color auto="1"/>
      </right>
      <top style="dashed">
        <color theme="0" tint="-0.24994659260841701"/>
      </top>
      <bottom/>
      <diagonal/>
    </border>
    <border>
      <left style="thin">
        <color auto="1"/>
      </left>
      <right style="medium">
        <color auto="1"/>
      </right>
      <top style="dashed">
        <color theme="0" tint="-0.24994659260841701"/>
      </top>
      <bottom/>
      <diagonal/>
    </border>
    <border>
      <left style="medium">
        <color auto="1"/>
      </left>
      <right style="thin">
        <color auto="1"/>
      </right>
      <top style="thin">
        <color auto="1"/>
      </top>
      <bottom style="dashed">
        <color theme="0" tint="-0.24994659260841701"/>
      </bottom>
      <diagonal/>
    </border>
    <border>
      <left style="thin">
        <color auto="1"/>
      </left>
      <right style="medium">
        <color auto="1"/>
      </right>
      <top style="thin">
        <color auto="1"/>
      </top>
      <bottom style="dashed">
        <color theme="0" tint="-0.24994659260841701"/>
      </bottom>
      <diagonal/>
    </border>
    <border>
      <left style="medium">
        <color auto="1"/>
      </left>
      <right style="thin">
        <color auto="1"/>
      </right>
      <top style="dashed">
        <color theme="0" tint="-0.24994659260841701"/>
      </top>
      <bottom style="thin">
        <color auto="1"/>
      </bottom>
      <diagonal/>
    </border>
    <border>
      <left style="thin">
        <color auto="1"/>
      </left>
      <right style="medium">
        <color auto="1"/>
      </right>
      <top style="dashed">
        <color theme="0" tint="-0.24994659260841701"/>
      </top>
      <bottom style="thin">
        <color auto="1"/>
      </bottom>
      <diagonal/>
    </border>
    <border>
      <left style="medium">
        <color auto="1"/>
      </left>
      <right style="dashed">
        <color auto="1"/>
      </right>
      <top style="dashed">
        <color theme="0" tint="-0.24994659260841701"/>
      </top>
      <bottom/>
      <diagonal/>
    </border>
    <border>
      <left style="dashed">
        <color auto="1"/>
      </left>
      <right style="medium">
        <color auto="1"/>
      </right>
      <top style="dashed">
        <color theme="0" tint="-0.24994659260841701"/>
      </top>
      <bottom/>
      <diagonal/>
    </border>
    <border>
      <left style="thin">
        <color auto="1"/>
      </left>
      <right style="medium">
        <color auto="1"/>
      </right>
      <top style="dashed">
        <color theme="0" tint="-0.14996795556505021"/>
      </top>
      <bottom style="medium">
        <color auto="1"/>
      </bottom>
      <diagonal/>
    </border>
    <border>
      <left style="medium">
        <color auto="1"/>
      </left>
      <right style="medium">
        <color auto="1"/>
      </right>
      <top/>
      <bottom style="dashed">
        <color theme="0" tint="-0.24994659260841701"/>
      </bottom>
      <diagonal/>
    </border>
    <border>
      <left/>
      <right style="medium">
        <color auto="1"/>
      </right>
      <top style="medium">
        <color auto="1"/>
      </top>
      <bottom style="dashed">
        <color theme="0" tint="-0.24994659260841701"/>
      </bottom>
      <diagonal/>
    </border>
    <border>
      <left/>
      <right style="medium">
        <color auto="1"/>
      </right>
      <top style="dashed">
        <color theme="0" tint="-0.24994659260841701"/>
      </top>
      <bottom style="dashed">
        <color theme="0" tint="-0.2499465926084170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96">
    <xf numFmtId="0" fontId="0" fillId="0" borderId="0" xfId="0"/>
    <xf numFmtId="0" fontId="0" fillId="2" borderId="0" xfId="0" applyFill="1"/>
    <xf numFmtId="9" fontId="0" fillId="2" borderId="17" xfId="1" applyFont="1" applyFill="1" applyBorder="1" applyAlignment="1">
      <alignment horizontal="center" vertical="center"/>
    </xf>
    <xf numFmtId="9" fontId="0" fillId="2" borderId="18"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30" xfId="0" applyFill="1" applyBorder="1" applyAlignment="1">
      <alignment horizontal="center" vertical="center"/>
    </xf>
    <xf numFmtId="0" fontId="0" fillId="2" borderId="37" xfId="0" applyFill="1" applyBorder="1" applyAlignment="1">
      <alignment horizontal="center" vertical="center"/>
    </xf>
    <xf numFmtId="3" fontId="0" fillId="2" borderId="33" xfId="1" applyNumberFormat="1" applyFont="1" applyFill="1" applyBorder="1" applyAlignment="1">
      <alignment horizontal="center" vertical="center"/>
    </xf>
    <xf numFmtId="3" fontId="0" fillId="2" borderId="34" xfId="1" applyNumberFormat="1" applyFont="1" applyFill="1" applyBorder="1" applyAlignment="1">
      <alignment horizontal="center" vertical="center"/>
    </xf>
    <xf numFmtId="3" fontId="0" fillId="2" borderId="35" xfId="1" applyNumberFormat="1" applyFont="1" applyFill="1" applyBorder="1" applyAlignment="1">
      <alignment horizontal="center" vertical="center"/>
    </xf>
    <xf numFmtId="166" fontId="0" fillId="2" borderId="17" xfId="2" applyNumberFormat="1" applyFont="1" applyFill="1" applyBorder="1" applyAlignment="1">
      <alignment horizontal="center" vertical="center"/>
    </xf>
    <xf numFmtId="166" fontId="0" fillId="2" borderId="18" xfId="2" applyNumberFormat="1" applyFont="1" applyFill="1" applyBorder="1" applyAlignment="1">
      <alignment horizontal="center" vertical="center"/>
    </xf>
    <xf numFmtId="166" fontId="0" fillId="2" borderId="19" xfId="2" applyNumberFormat="1" applyFont="1" applyFill="1" applyBorder="1" applyAlignment="1">
      <alignment horizontal="center" vertical="center"/>
    </xf>
    <xf numFmtId="4" fontId="0" fillId="2" borderId="17" xfId="1" applyNumberFormat="1" applyFont="1" applyFill="1" applyBorder="1" applyAlignment="1">
      <alignment horizontal="center" vertical="center"/>
    </xf>
    <xf numFmtId="4" fontId="0" fillId="2" borderId="18" xfId="1" applyNumberFormat="1" applyFont="1" applyFill="1" applyBorder="1" applyAlignment="1">
      <alignment horizontal="center" vertical="center"/>
    </xf>
    <xf numFmtId="4" fontId="0" fillId="2" borderId="19" xfId="1"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4" xfId="0" applyNumberFormat="1" applyFill="1" applyBorder="1" applyAlignment="1">
      <alignment horizontal="center" vertical="center"/>
    </xf>
    <xf numFmtId="3" fontId="0" fillId="2" borderId="18" xfId="0" applyNumberFormat="1" applyFill="1" applyBorder="1" applyAlignment="1">
      <alignment horizontal="center" vertical="center"/>
    </xf>
    <xf numFmtId="4" fontId="0" fillId="2" borderId="5" xfId="0" applyNumberFormat="1" applyFill="1" applyBorder="1" applyAlignment="1">
      <alignment horizontal="center" vertical="center"/>
    </xf>
    <xf numFmtId="3" fontId="0" fillId="2" borderId="19" xfId="0" applyNumberFormat="1" applyFill="1" applyBorder="1" applyAlignment="1">
      <alignment horizontal="center" vertical="center"/>
    </xf>
    <xf numFmtId="4"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3" fontId="0" fillId="2" borderId="24" xfId="0" applyNumberFormat="1" applyFill="1" applyBorder="1" applyAlignment="1">
      <alignment horizontal="center" vertical="center"/>
    </xf>
    <xf numFmtId="9" fontId="0" fillId="2" borderId="22" xfId="0" applyNumberFormat="1" applyFill="1" applyBorder="1" applyAlignment="1">
      <alignment horizontal="center" vertical="center"/>
    </xf>
    <xf numFmtId="166" fontId="0" fillId="2" borderId="22"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2" borderId="22" xfId="0" applyNumberFormat="1" applyFill="1" applyBorder="1" applyAlignment="1">
      <alignment horizontal="center" vertical="center"/>
    </xf>
    <xf numFmtId="4" fontId="0" fillId="2" borderId="23" xfId="0" applyNumberFormat="1" applyFill="1" applyBorder="1" applyAlignment="1">
      <alignment horizontal="center" vertical="center"/>
    </xf>
    <xf numFmtId="3" fontId="0" fillId="2" borderId="26" xfId="0" applyNumberFormat="1" applyFill="1" applyBorder="1" applyAlignment="1">
      <alignment horizontal="right" vertical="center"/>
    </xf>
    <xf numFmtId="0" fontId="0" fillId="5" borderId="36" xfId="0" applyFill="1" applyBorder="1" applyAlignment="1">
      <alignment horizontal="center" vertical="center"/>
    </xf>
    <xf numFmtId="0" fontId="0" fillId="5" borderId="32"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vertical="center"/>
    </xf>
    <xf numFmtId="165" fontId="0" fillId="2" borderId="28" xfId="0" applyNumberFormat="1" applyFill="1" applyBorder="1" applyAlignment="1">
      <alignment vertical="center"/>
    </xf>
    <xf numFmtId="0" fontId="0" fillId="5" borderId="30" xfId="0" applyFill="1" applyBorder="1" applyAlignment="1">
      <alignment vertical="center"/>
    </xf>
    <xf numFmtId="165" fontId="0" fillId="2" borderId="25" xfId="0" applyNumberFormat="1" applyFill="1" applyBorder="1" applyAlignment="1">
      <alignment vertical="center"/>
    </xf>
    <xf numFmtId="0" fontId="2" fillId="5" borderId="30" xfId="0" applyFont="1" applyFill="1" applyBorder="1" applyAlignment="1">
      <alignment vertical="center"/>
    </xf>
    <xf numFmtId="0" fontId="0" fillId="5" borderId="30" xfId="0" applyFill="1" applyBorder="1" applyAlignment="1">
      <alignment vertical="center" wrapText="1"/>
    </xf>
    <xf numFmtId="3" fontId="0" fillId="2" borderId="25" xfId="0" applyNumberFormat="1" applyFill="1" applyBorder="1" applyAlignment="1">
      <alignment vertical="center"/>
    </xf>
    <xf numFmtId="0" fontId="0" fillId="5" borderId="31" xfId="0" applyFill="1" applyBorder="1" applyAlignment="1">
      <alignment vertical="center" wrapText="1"/>
    </xf>
    <xf numFmtId="0" fontId="0" fillId="2" borderId="54" xfId="0" applyFill="1" applyBorder="1"/>
    <xf numFmtId="0" fontId="0" fillId="2" borderId="56" xfId="0" applyFill="1" applyBorder="1"/>
    <xf numFmtId="0" fontId="2" fillId="2" borderId="56" xfId="0" applyFont="1" applyFill="1" applyBorder="1" applyAlignment="1">
      <alignment wrapText="1"/>
    </xf>
    <xf numFmtId="0" fontId="0" fillId="2" borderId="58" xfId="0" applyFill="1" applyBorder="1"/>
    <xf numFmtId="0" fontId="0" fillId="2" borderId="56" xfId="0" applyFill="1" applyBorder="1" applyAlignment="1">
      <alignment wrapText="1"/>
    </xf>
    <xf numFmtId="0" fontId="0" fillId="2" borderId="54" xfId="0" applyFill="1" applyBorder="1" applyAlignment="1">
      <alignment wrapText="1"/>
    </xf>
    <xf numFmtId="0" fontId="0" fillId="2" borderId="57" xfId="0" applyFill="1" applyBorder="1" applyAlignment="1">
      <alignment horizontal="left"/>
    </xf>
    <xf numFmtId="3" fontId="0" fillId="2" borderId="57" xfId="0" applyNumberFormat="1" applyFill="1" applyBorder="1" applyAlignment="1">
      <alignment horizontal="left"/>
    </xf>
    <xf numFmtId="168" fontId="0" fillId="2" borderId="57" xfId="0" applyNumberFormat="1" applyFill="1" applyBorder="1" applyAlignment="1">
      <alignment horizontal="left"/>
    </xf>
    <xf numFmtId="1" fontId="0" fillId="2" borderId="57" xfId="0" applyNumberFormat="1" applyFill="1" applyBorder="1" applyAlignment="1">
      <alignment horizontal="left"/>
    </xf>
    <xf numFmtId="0" fontId="0" fillId="2" borderId="58" xfId="0" applyFill="1" applyBorder="1" applyAlignment="1">
      <alignment wrapText="1"/>
    </xf>
    <xf numFmtId="1" fontId="0" fillId="2" borderId="59" xfId="0" applyNumberFormat="1" applyFill="1" applyBorder="1" applyAlignment="1">
      <alignment horizontal="left"/>
    </xf>
    <xf numFmtId="2" fontId="0" fillId="2" borderId="55" xfId="0" applyNumberFormat="1" applyFill="1" applyBorder="1" applyAlignment="1">
      <alignment horizontal="left"/>
    </xf>
    <xf numFmtId="2" fontId="0" fillId="2" borderId="57" xfId="0" quotePrefix="1" applyNumberFormat="1" applyFill="1" applyBorder="1" applyAlignment="1">
      <alignment horizontal="left"/>
    </xf>
    <xf numFmtId="2" fontId="0" fillId="2" borderId="57" xfId="0" applyNumberFormat="1" applyFill="1" applyBorder="1" applyAlignment="1">
      <alignment horizontal="left"/>
    </xf>
    <xf numFmtId="11" fontId="0" fillId="2" borderId="55" xfId="0" applyNumberFormat="1" applyFill="1" applyBorder="1" applyAlignment="1">
      <alignment horizontal="left"/>
    </xf>
    <xf numFmtId="0" fontId="0" fillId="2" borderId="55" xfId="0" applyFill="1" applyBorder="1" applyAlignment="1">
      <alignment horizontal="left"/>
    </xf>
    <xf numFmtId="0" fontId="0" fillId="2" borderId="0" xfId="0" applyFill="1" applyAlignment="1">
      <alignment vertical="center"/>
    </xf>
    <xf numFmtId="0" fontId="4" fillId="2" borderId="0" xfId="0" applyFont="1" applyFill="1" applyAlignment="1">
      <alignment vertical="center"/>
    </xf>
    <xf numFmtId="0" fontId="0" fillId="2" borderId="54" xfId="0" applyFill="1" applyBorder="1" applyAlignment="1">
      <alignment vertical="center" wrapText="1"/>
    </xf>
    <xf numFmtId="2" fontId="0" fillId="2" borderId="55" xfId="0" applyNumberFormat="1" applyFill="1" applyBorder="1" applyAlignment="1">
      <alignment vertical="center" wrapText="1"/>
    </xf>
    <xf numFmtId="0" fontId="2" fillId="2" borderId="56" xfId="0" applyFont="1" applyFill="1" applyBorder="1" applyAlignment="1">
      <alignment vertical="center" wrapText="1"/>
    </xf>
    <xf numFmtId="0" fontId="0" fillId="2" borderId="58" xfId="0" applyFill="1" applyBorder="1" applyAlignment="1">
      <alignment vertical="center" wrapText="1"/>
    </xf>
    <xf numFmtId="2" fontId="0" fillId="2" borderId="55" xfId="0" applyNumberFormat="1" applyFill="1" applyBorder="1"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167" fontId="0" fillId="2" borderId="57" xfId="0" applyNumberFormat="1" applyFill="1" applyBorder="1" applyAlignment="1">
      <alignment vertical="center"/>
    </xf>
    <xf numFmtId="0" fontId="0" fillId="2" borderId="58" xfId="0" applyFill="1" applyBorder="1" applyAlignment="1">
      <alignment vertical="center"/>
    </xf>
    <xf numFmtId="0" fontId="0" fillId="2" borderId="55" xfId="0" applyFill="1" applyBorder="1" applyAlignment="1">
      <alignment vertical="center"/>
    </xf>
    <xf numFmtId="0" fontId="10" fillId="2" borderId="0" xfId="0" applyFont="1" applyFill="1" applyAlignment="1">
      <alignment vertical="center"/>
    </xf>
    <xf numFmtId="0" fontId="2" fillId="2" borderId="58" xfId="0" applyFont="1" applyFill="1" applyBorder="1" applyAlignment="1">
      <alignment wrapText="1"/>
    </xf>
    <xf numFmtId="0" fontId="12" fillId="2" borderId="0" xfId="0" applyFont="1" applyFill="1"/>
    <xf numFmtId="0" fontId="23" fillId="2" borderId="0" xfId="0" applyFont="1" applyFill="1" applyAlignment="1">
      <alignment vertical="top"/>
    </xf>
    <xf numFmtId="0" fontId="19" fillId="6" borderId="67" xfId="0" applyFont="1" applyFill="1" applyBorder="1" applyAlignment="1" applyProtection="1">
      <alignment horizontal="center" vertical="center"/>
      <protection locked="0"/>
    </xf>
    <xf numFmtId="0" fontId="19" fillId="6" borderId="68" xfId="0" applyFont="1" applyFill="1" applyBorder="1" applyAlignment="1" applyProtection="1">
      <alignment horizontal="center" vertical="center"/>
      <protection locked="0"/>
    </xf>
    <xf numFmtId="0" fontId="19" fillId="6" borderId="69"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42" xfId="0" applyFill="1" applyBorder="1" applyAlignment="1" applyProtection="1">
      <alignment horizontal="right" vertical="center"/>
      <protection locked="0"/>
    </xf>
    <xf numFmtId="0" fontId="0" fillId="2" borderId="43" xfId="0" applyFill="1" applyBorder="1" applyAlignment="1" applyProtection="1">
      <alignment horizontal="right" vertical="center"/>
      <protection locked="0"/>
    </xf>
    <xf numFmtId="0" fontId="0" fillId="2" borderId="41" xfId="0" applyFill="1" applyBorder="1" applyAlignment="1" applyProtection="1">
      <alignment vertical="center"/>
      <protection locked="0"/>
    </xf>
    <xf numFmtId="0" fontId="0" fillId="2" borderId="48" xfId="0" applyFill="1" applyBorder="1" applyAlignment="1" applyProtection="1">
      <alignment horizontal="right" vertical="center"/>
      <protection locked="0"/>
    </xf>
    <xf numFmtId="0" fontId="0" fillId="2" borderId="51" xfId="0" applyFill="1" applyBorder="1" applyAlignment="1" applyProtection="1">
      <alignment horizontal="right" vertical="center"/>
      <protection locked="0"/>
    </xf>
    <xf numFmtId="0" fontId="0" fillId="2" borderId="44" xfId="0" applyFill="1" applyBorder="1" applyAlignment="1" applyProtection="1">
      <alignment horizontal="right" vertical="center"/>
      <protection locked="0"/>
    </xf>
    <xf numFmtId="0" fontId="0" fillId="2" borderId="45" xfId="0" applyFill="1" applyBorder="1" applyAlignment="1" applyProtection="1">
      <alignment horizontal="right" vertical="center"/>
      <protection locked="0"/>
    </xf>
    <xf numFmtId="0" fontId="0" fillId="2" borderId="49" xfId="0" applyFill="1" applyBorder="1" applyAlignment="1" applyProtection="1">
      <alignment horizontal="right" vertical="center"/>
      <protection locked="0"/>
    </xf>
    <xf numFmtId="0" fontId="0" fillId="2" borderId="0" xfId="0" applyFill="1" applyAlignment="1" applyProtection="1">
      <alignment vertical="center"/>
      <protection locked="0"/>
    </xf>
    <xf numFmtId="0" fontId="0" fillId="2" borderId="52" xfId="0" applyFill="1" applyBorder="1" applyAlignment="1" applyProtection="1">
      <alignment horizontal="right" vertical="center"/>
      <protection locked="0"/>
    </xf>
    <xf numFmtId="11" fontId="0" fillId="2" borderId="45" xfId="0" applyNumberFormat="1" applyFill="1" applyBorder="1" applyAlignment="1" applyProtection="1">
      <alignment horizontal="right" vertical="center"/>
      <protection locked="0"/>
    </xf>
    <xf numFmtId="11" fontId="0" fillId="2" borderId="52" xfId="0" applyNumberFormat="1" applyFill="1" applyBorder="1" applyAlignment="1" applyProtection="1">
      <alignment horizontal="right" vertical="center"/>
      <protection locked="0"/>
    </xf>
    <xf numFmtId="2" fontId="0" fillId="2" borderId="45" xfId="0" applyNumberFormat="1" applyFill="1" applyBorder="1" applyAlignment="1" applyProtection="1">
      <alignment horizontal="right" vertical="center"/>
      <protection locked="0"/>
    </xf>
    <xf numFmtId="2" fontId="0" fillId="2" borderId="52" xfId="0" applyNumberFormat="1" applyFill="1" applyBorder="1" applyAlignment="1" applyProtection="1">
      <alignment horizontal="right" vertical="center"/>
      <protection locked="0"/>
    </xf>
    <xf numFmtId="1" fontId="0" fillId="2" borderId="45" xfId="0" applyNumberFormat="1" applyFill="1" applyBorder="1" applyAlignment="1" applyProtection="1">
      <alignment horizontal="right" vertical="center"/>
      <protection locked="0"/>
    </xf>
    <xf numFmtId="1" fontId="0" fillId="2" borderId="52" xfId="0" applyNumberFormat="1" applyFill="1" applyBorder="1" applyAlignment="1" applyProtection="1">
      <alignment horizontal="right" vertical="center"/>
      <protection locked="0"/>
    </xf>
    <xf numFmtId="0" fontId="0" fillId="2" borderId="46" xfId="0" applyFill="1" applyBorder="1" applyAlignment="1" applyProtection="1">
      <alignment horizontal="right" vertical="center"/>
      <protection locked="0"/>
    </xf>
    <xf numFmtId="0" fontId="0" fillId="2" borderId="47" xfId="0" applyFill="1" applyBorder="1" applyAlignment="1" applyProtection="1">
      <alignment horizontal="right" vertical="center"/>
      <protection locked="0"/>
    </xf>
    <xf numFmtId="0" fontId="0" fillId="2" borderId="12" xfId="0" applyFill="1" applyBorder="1" applyAlignment="1" applyProtection="1">
      <alignment vertical="center"/>
      <protection locked="0"/>
    </xf>
    <xf numFmtId="0" fontId="0" fillId="2" borderId="50" xfId="0" applyFill="1" applyBorder="1" applyAlignment="1" applyProtection="1">
      <alignment horizontal="right" vertical="center"/>
      <protection locked="0"/>
    </xf>
    <xf numFmtId="0" fontId="0" fillId="2" borderId="53" xfId="0" applyFill="1" applyBorder="1" applyAlignment="1" applyProtection="1">
      <alignment horizontal="right" vertical="center"/>
      <protection locked="0"/>
    </xf>
    <xf numFmtId="171" fontId="0" fillId="2" borderId="57" xfId="0" applyNumberFormat="1" applyFill="1" applyBorder="1" applyAlignment="1">
      <alignment vertical="center"/>
    </xf>
    <xf numFmtId="171" fontId="0" fillId="2" borderId="59" xfId="0" applyNumberFormat="1" applyFill="1" applyBorder="1" applyAlignment="1">
      <alignment vertical="center"/>
    </xf>
    <xf numFmtId="167" fontId="0" fillId="2" borderId="57" xfId="0" applyNumberFormat="1" applyFill="1" applyBorder="1" applyAlignment="1">
      <alignment horizontal="left"/>
    </xf>
    <xf numFmtId="167" fontId="0" fillId="2" borderId="59" xfId="0" applyNumberFormat="1" applyFill="1" applyBorder="1" applyAlignment="1">
      <alignment horizontal="left"/>
    </xf>
    <xf numFmtId="171" fontId="0" fillId="2" borderId="57" xfId="0" applyNumberFormat="1" applyFill="1" applyBorder="1" applyAlignment="1">
      <alignment horizontal="left"/>
    </xf>
    <xf numFmtId="171" fontId="0" fillId="2" borderId="59" xfId="0" applyNumberFormat="1" applyFill="1" applyBorder="1" applyAlignment="1">
      <alignment horizontal="left"/>
    </xf>
    <xf numFmtId="1" fontId="0" fillId="2" borderId="59" xfId="0" applyNumberFormat="1" applyFill="1" applyBorder="1" applyAlignment="1">
      <alignment vertical="center"/>
    </xf>
    <xf numFmtId="1" fontId="0" fillId="2" borderId="57" xfId="0" applyNumberFormat="1" applyFill="1" applyBorder="1" applyAlignment="1">
      <alignment vertical="center"/>
    </xf>
    <xf numFmtId="3" fontId="0" fillId="2" borderId="0" xfId="0" applyNumberFormat="1" applyFill="1"/>
    <xf numFmtId="0" fontId="0" fillId="7" borderId="0" xfId="0" applyFill="1"/>
    <xf numFmtId="0" fontId="12" fillId="7" borderId="0" xfId="0" applyFont="1" applyFill="1"/>
    <xf numFmtId="0" fontId="21" fillId="2" borderId="0" xfId="0" applyFont="1" applyFill="1" applyAlignment="1">
      <alignment vertical="center"/>
    </xf>
    <xf numFmtId="0" fontId="12" fillId="2" borderId="0" xfId="0" applyFont="1" applyFill="1" applyAlignment="1">
      <alignment wrapText="1"/>
    </xf>
    <xf numFmtId="0" fontId="12" fillId="2" borderId="0" xfId="0" applyFont="1" applyFill="1" applyAlignment="1">
      <alignment vertical="center" wrapText="1"/>
    </xf>
    <xf numFmtId="0" fontId="23" fillId="2" borderId="0" xfId="0" applyFont="1" applyFill="1" applyAlignment="1">
      <alignment wrapText="1"/>
    </xf>
    <xf numFmtId="0" fontId="12" fillId="9" borderId="0" xfId="0" applyFont="1" applyFill="1" applyAlignment="1">
      <alignment vertical="center" wrapText="1"/>
    </xf>
    <xf numFmtId="0" fontId="0" fillId="2" borderId="0" xfId="0" applyFill="1" applyAlignment="1">
      <alignment wrapText="1"/>
    </xf>
    <xf numFmtId="0" fontId="40" fillId="2" borderId="0" xfId="0" applyFont="1" applyFill="1"/>
    <xf numFmtId="0" fontId="31" fillId="2" borderId="86" xfId="0" applyFont="1" applyFill="1" applyBorder="1" applyAlignment="1">
      <alignment horizontal="center" wrapText="1"/>
    </xf>
    <xf numFmtId="0" fontId="19" fillId="2" borderId="87" xfId="0" applyFont="1" applyFill="1" applyBorder="1" applyAlignment="1">
      <alignment vertical="top" wrapText="1"/>
    </xf>
    <xf numFmtId="10" fontId="19" fillId="6" borderId="84" xfId="1" applyNumberFormat="1" applyFont="1" applyFill="1" applyBorder="1" applyAlignment="1" applyProtection="1">
      <alignment horizontal="center" vertical="center"/>
      <protection locked="0"/>
    </xf>
    <xf numFmtId="10" fontId="19" fillId="6" borderId="28" xfId="1" applyNumberFormat="1" applyFont="1" applyFill="1" applyBorder="1" applyAlignment="1" applyProtection="1">
      <alignment horizontal="center" vertical="center"/>
      <protection locked="0"/>
    </xf>
    <xf numFmtId="10" fontId="19" fillId="6" borderId="85" xfId="1" applyNumberFormat="1" applyFont="1" applyFill="1" applyBorder="1" applyAlignment="1" applyProtection="1">
      <alignment horizontal="center" vertical="center"/>
      <protection locked="0"/>
    </xf>
    <xf numFmtId="10" fontId="19" fillId="6" borderId="25" xfId="1" applyNumberFormat="1" applyFont="1" applyFill="1" applyBorder="1" applyAlignment="1" applyProtection="1">
      <alignment horizontal="center" vertical="center"/>
      <protection locked="0"/>
    </xf>
    <xf numFmtId="0" fontId="19" fillId="6" borderId="83" xfId="0" applyFont="1" applyFill="1" applyBorder="1" applyAlignment="1" applyProtection="1">
      <alignment horizontal="center" vertical="center"/>
      <protection locked="0"/>
    </xf>
    <xf numFmtId="10" fontId="19" fillId="6" borderId="26" xfId="1" applyNumberFormat="1" applyFont="1" applyFill="1" applyBorder="1" applyAlignment="1" applyProtection="1">
      <alignment horizontal="center" vertical="center"/>
      <protection locked="0"/>
    </xf>
    <xf numFmtId="169" fontId="19" fillId="6" borderId="67" xfId="2" applyNumberFormat="1" applyFont="1" applyFill="1" applyBorder="1" applyAlignment="1" applyProtection="1">
      <alignment horizontal="center" vertical="center"/>
      <protection locked="0"/>
    </xf>
    <xf numFmtId="10" fontId="19" fillId="8" borderId="69" xfId="1" applyNumberFormat="1" applyFont="1" applyFill="1" applyBorder="1" applyAlignment="1" applyProtection="1">
      <alignment horizontal="center" vertical="center"/>
    </xf>
    <xf numFmtId="0" fontId="12" fillId="2" borderId="70" xfId="0" applyFont="1" applyFill="1" applyBorder="1" applyAlignment="1">
      <alignment horizontal="left" vertical="center" wrapText="1"/>
    </xf>
    <xf numFmtId="0" fontId="12" fillId="9" borderId="70" xfId="0" applyFont="1" applyFill="1" applyBorder="1" applyAlignment="1">
      <alignment horizontal="left" vertical="center" wrapText="1"/>
    </xf>
    <xf numFmtId="0" fontId="12" fillId="2" borderId="80"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71" xfId="0" applyFont="1" applyFill="1" applyBorder="1" applyAlignment="1">
      <alignment horizontal="center" vertical="center" wrapText="1"/>
    </xf>
    <xf numFmtId="169" fontId="12" fillId="2" borderId="52" xfId="2" applyNumberFormat="1" applyFont="1" applyFill="1" applyBorder="1" applyAlignment="1" applyProtection="1">
      <alignment horizontal="center" vertical="center" wrapText="1"/>
    </xf>
    <xf numFmtId="0" fontId="12" fillId="9" borderId="10" xfId="0" applyFont="1" applyFill="1" applyBorder="1" applyAlignment="1">
      <alignment horizontal="center" vertical="center" wrapText="1"/>
    </xf>
    <xf numFmtId="0" fontId="12" fillId="2" borderId="52" xfId="0" applyFont="1" applyFill="1" applyBorder="1" applyAlignment="1">
      <alignment horizontal="center" vertical="center" wrapText="1"/>
    </xf>
    <xf numFmtId="165" fontId="12" fillId="2" borderId="52" xfId="0" applyNumberFormat="1" applyFont="1" applyFill="1" applyBorder="1" applyAlignment="1">
      <alignment horizontal="center" vertical="center" wrapText="1"/>
    </xf>
    <xf numFmtId="170" fontId="12" fillId="2" borderId="81" xfId="0" applyNumberFormat="1" applyFont="1" applyFill="1" applyBorder="1" applyAlignment="1">
      <alignment horizontal="center" vertical="center" wrapText="1"/>
    </xf>
    <xf numFmtId="169" fontId="12" fillId="2" borderId="53" xfId="2" applyNumberFormat="1" applyFont="1" applyFill="1" applyBorder="1" applyAlignment="1" applyProtection="1">
      <alignment horizontal="center" vertical="center" wrapText="1"/>
    </xf>
    <xf numFmtId="169" fontId="12" fillId="2" borderId="71" xfId="2" applyNumberFormat="1" applyFont="1" applyFill="1" applyBorder="1" applyAlignment="1" applyProtection="1">
      <alignment horizontal="center" vertical="center" wrapText="1"/>
    </xf>
    <xf numFmtId="0" fontId="12" fillId="9" borderId="71" xfId="0" applyFont="1" applyFill="1" applyBorder="1" applyAlignment="1">
      <alignment horizontal="center" vertical="center" wrapText="1"/>
    </xf>
    <xf numFmtId="0" fontId="12" fillId="2" borderId="72" xfId="0" applyFont="1" applyFill="1" applyBorder="1" applyAlignment="1">
      <alignment horizontal="left" vertical="center"/>
    </xf>
    <xf numFmtId="0" fontId="12" fillId="2" borderId="56" xfId="0" applyFont="1" applyFill="1" applyBorder="1" applyAlignment="1">
      <alignment horizontal="left" vertical="center"/>
    </xf>
    <xf numFmtId="0" fontId="12" fillId="2" borderId="56" xfId="0" applyFont="1" applyFill="1" applyBorder="1" applyAlignment="1">
      <alignment horizontal="left" vertical="center" wrapText="1"/>
    </xf>
    <xf numFmtId="0" fontId="12" fillId="2" borderId="74" xfId="0" applyFont="1" applyFill="1" applyBorder="1" applyAlignment="1">
      <alignment horizontal="left" vertical="center"/>
    </xf>
    <xf numFmtId="0" fontId="12" fillId="2" borderId="76" xfId="0" applyFont="1" applyFill="1" applyBorder="1" applyAlignment="1">
      <alignment horizontal="left" vertical="center"/>
    </xf>
    <xf numFmtId="0" fontId="12" fillId="2" borderId="78" xfId="0" applyFont="1" applyFill="1" applyBorder="1" applyAlignment="1">
      <alignment horizontal="left" vertical="center"/>
    </xf>
    <xf numFmtId="0" fontId="12" fillId="2" borderId="74" xfId="0" applyFont="1" applyFill="1" applyBorder="1" applyAlignment="1">
      <alignment horizontal="left" vertical="center" wrapText="1"/>
    </xf>
    <xf numFmtId="0" fontId="12" fillId="2" borderId="58" xfId="0" applyFont="1" applyFill="1" applyBorder="1" applyAlignment="1">
      <alignment horizontal="left" vertical="center" wrapText="1"/>
    </xf>
    <xf numFmtId="2" fontId="12" fillId="2" borderId="73" xfId="0" applyNumberFormat="1" applyFont="1" applyFill="1" applyBorder="1" applyAlignment="1">
      <alignment horizontal="center" vertical="center"/>
    </xf>
    <xf numFmtId="2" fontId="12" fillId="2" borderId="57" xfId="0" quotePrefix="1" applyNumberFormat="1" applyFont="1" applyFill="1" applyBorder="1" applyAlignment="1">
      <alignment horizontal="center" vertical="center"/>
    </xf>
    <xf numFmtId="165" fontId="12" fillId="2" borderId="57" xfId="0" applyNumberFormat="1" applyFont="1" applyFill="1" applyBorder="1" applyAlignment="1">
      <alignment horizontal="center" vertical="center"/>
    </xf>
    <xf numFmtId="170" fontId="12" fillId="2" borderId="75" xfId="0" applyNumberFormat="1" applyFont="1" applyFill="1" applyBorder="1" applyAlignment="1">
      <alignment horizontal="center" vertical="center"/>
    </xf>
    <xf numFmtId="2" fontId="12" fillId="2" borderId="77" xfId="0" applyNumberFormat="1" applyFont="1" applyFill="1" applyBorder="1" applyAlignment="1">
      <alignment horizontal="center" vertical="center"/>
    </xf>
    <xf numFmtId="2" fontId="12" fillId="2" borderId="57" xfId="0" applyNumberFormat="1" applyFont="1" applyFill="1" applyBorder="1" applyAlignment="1">
      <alignment horizontal="center" vertical="center"/>
    </xf>
    <xf numFmtId="170" fontId="12" fillId="2" borderId="79" xfId="0" applyNumberFormat="1" applyFont="1" applyFill="1" applyBorder="1" applyAlignment="1">
      <alignment horizontal="center" vertical="center"/>
    </xf>
    <xf numFmtId="11" fontId="12" fillId="2" borderId="77" xfId="0" applyNumberFormat="1" applyFont="1" applyFill="1" applyBorder="1" applyAlignment="1">
      <alignment horizontal="center" vertical="center"/>
    </xf>
    <xf numFmtId="0" fontId="12" fillId="2" borderId="57" xfId="0" applyFont="1" applyFill="1" applyBorder="1" applyAlignment="1">
      <alignment horizontal="center" vertical="center"/>
    </xf>
    <xf numFmtId="165" fontId="12" fillId="2" borderId="75" xfId="0" applyNumberFormat="1" applyFont="1" applyFill="1" applyBorder="1" applyAlignment="1">
      <alignment horizontal="center" vertical="center"/>
    </xf>
    <xf numFmtId="169" fontId="12" fillId="2" borderId="82" xfId="2" applyNumberFormat="1" applyFont="1" applyFill="1" applyBorder="1" applyAlignment="1" applyProtection="1">
      <alignment horizontal="center" vertical="center"/>
    </xf>
    <xf numFmtId="0" fontId="16" fillId="2" borderId="0" xfId="0" applyFont="1" applyFill="1"/>
    <xf numFmtId="0" fontId="19" fillId="8" borderId="68" xfId="0" applyFont="1" applyFill="1" applyBorder="1" applyAlignment="1">
      <alignment horizontal="center" vertical="center"/>
    </xf>
    <xf numFmtId="0" fontId="12" fillId="7" borderId="0" xfId="0" applyFont="1" applyFill="1" applyAlignment="1">
      <alignment horizontal="center"/>
    </xf>
    <xf numFmtId="0" fontId="19" fillId="7" borderId="0" xfId="0" applyFont="1" applyFill="1"/>
    <xf numFmtId="0" fontId="19" fillId="7" borderId="0" xfId="0" applyFont="1" applyFill="1" applyAlignment="1">
      <alignment horizontal="center"/>
    </xf>
    <xf numFmtId="0" fontId="14" fillId="7" borderId="0" xfId="0" applyFont="1" applyFill="1" applyAlignment="1">
      <alignment horizontal="center"/>
    </xf>
    <xf numFmtId="0" fontId="19" fillId="10" borderId="0" xfId="0" applyFont="1" applyFill="1"/>
    <xf numFmtId="0" fontId="15" fillId="10" borderId="0" xfId="0" applyFont="1" applyFill="1" applyAlignment="1">
      <alignment horizontal="left" vertical="top" wrapText="1"/>
    </xf>
    <xf numFmtId="0" fontId="15" fillId="10" borderId="0" xfId="0" applyFont="1" applyFill="1" applyAlignment="1">
      <alignment horizontal="left" vertical="top"/>
    </xf>
    <xf numFmtId="0" fontId="15" fillId="7" borderId="0" xfId="0" applyFont="1" applyFill="1" applyAlignment="1">
      <alignment horizontal="left" vertical="top"/>
    </xf>
    <xf numFmtId="0" fontId="12" fillId="7" borderId="0" xfId="0" applyFont="1" applyFill="1" applyAlignment="1">
      <alignment horizontal="center" vertical="center"/>
    </xf>
    <xf numFmtId="0" fontId="19" fillId="2" borderId="0" xfId="0" applyFont="1" applyFill="1" applyAlignment="1">
      <alignment horizontal="center" vertical="center"/>
    </xf>
    <xf numFmtId="0" fontId="11" fillId="10" borderId="0" xfId="0" applyFont="1" applyFill="1"/>
    <xf numFmtId="0" fontId="11" fillId="7" borderId="0" xfId="0" applyFont="1" applyFill="1"/>
    <xf numFmtId="0" fontId="12" fillId="2" borderId="0" xfId="0" applyFont="1" applyFill="1" applyAlignment="1">
      <alignment horizontal="center" vertical="center"/>
    </xf>
    <xf numFmtId="0" fontId="19" fillId="2" borderId="0" xfId="0" applyFont="1" applyFill="1"/>
    <xf numFmtId="0" fontId="0" fillId="10" borderId="0" xfId="0" applyFill="1"/>
    <xf numFmtId="0" fontId="19" fillId="3" borderId="63"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xf numFmtId="0" fontId="19" fillId="2" borderId="66" xfId="0" applyFont="1" applyFill="1" applyBorder="1" applyAlignment="1">
      <alignment vertical="center"/>
    </xf>
    <xf numFmtId="0" fontId="19" fillId="2" borderId="60" xfId="0" applyFont="1" applyFill="1" applyBorder="1" applyAlignment="1">
      <alignment vertical="center"/>
    </xf>
    <xf numFmtId="0" fontId="19" fillId="2" borderId="61" xfId="0" applyFont="1" applyFill="1" applyBorder="1" applyAlignment="1">
      <alignment vertical="center"/>
    </xf>
    <xf numFmtId="0" fontId="19" fillId="2" borderId="0" xfId="0" applyFont="1" applyFill="1" applyAlignment="1">
      <alignment vertical="top" wrapText="1"/>
    </xf>
    <xf numFmtId="0" fontId="19" fillId="9" borderId="0" xfId="0" applyFont="1" applyFill="1" applyAlignment="1">
      <alignment vertical="top" wrapText="1"/>
    </xf>
    <xf numFmtId="0" fontId="19" fillId="7" borderId="0" xfId="0" applyFont="1" applyFill="1" applyAlignment="1">
      <alignment vertical="top" wrapText="1"/>
    </xf>
    <xf numFmtId="0" fontId="12" fillId="2" borderId="0" xfId="0" applyFont="1" applyFill="1" applyAlignment="1">
      <alignment horizontal="center"/>
    </xf>
    <xf numFmtId="0" fontId="19" fillId="2" borderId="62" xfId="0" applyFont="1" applyFill="1" applyBorder="1" applyAlignment="1">
      <alignment horizontal="left" vertical="center" wrapText="1"/>
    </xf>
    <xf numFmtId="0" fontId="23" fillId="2" borderId="0" xfId="0" applyFont="1" applyFill="1" applyAlignment="1">
      <alignment vertical="top" wrapText="1"/>
    </xf>
    <xf numFmtId="0" fontId="19" fillId="2" borderId="60" xfId="0" applyFont="1" applyFill="1" applyBorder="1" applyAlignment="1">
      <alignment horizontal="left" vertical="center" wrapText="1"/>
    </xf>
    <xf numFmtId="0" fontId="23" fillId="9" borderId="6" xfId="0" applyFont="1" applyFill="1" applyBorder="1" applyAlignment="1">
      <alignment vertical="top"/>
    </xf>
    <xf numFmtId="0" fontId="12" fillId="10" borderId="0" xfId="0" applyFont="1" applyFill="1"/>
    <xf numFmtId="0" fontId="12" fillId="9" borderId="0" xfId="0" applyFont="1" applyFill="1" applyAlignment="1">
      <alignment horizontal="center"/>
    </xf>
    <xf numFmtId="0" fontId="19" fillId="2" borderId="61" xfId="0" applyFont="1" applyFill="1" applyBorder="1" applyAlignment="1">
      <alignment horizontal="left" vertical="center" wrapText="1"/>
    </xf>
    <xf numFmtId="0" fontId="12" fillId="10" borderId="6" xfId="0" applyFont="1" applyFill="1" applyBorder="1"/>
    <xf numFmtId="0" fontId="12" fillId="10" borderId="0" xfId="0" applyFont="1" applyFill="1" applyAlignment="1">
      <alignment vertical="top" wrapText="1"/>
    </xf>
    <xf numFmtId="0" fontId="12" fillId="9" borderId="0" xfId="0" applyFont="1" applyFill="1"/>
    <xf numFmtId="0" fontId="19" fillId="9" borderId="0" xfId="0" applyFont="1" applyFill="1"/>
    <xf numFmtId="0" fontId="12" fillId="7" borderId="0" xfId="0" applyFont="1" applyFill="1" applyAlignment="1">
      <alignment wrapText="1"/>
    </xf>
    <xf numFmtId="0" fontId="19" fillId="2" borderId="61" xfId="0" applyFont="1" applyFill="1" applyBorder="1" applyAlignment="1">
      <alignment horizontal="left" wrapText="1"/>
    </xf>
    <xf numFmtId="0" fontId="24" fillId="2" borderId="0" xfId="0" applyFont="1" applyFill="1" applyAlignment="1">
      <alignment horizontal="left" vertical="top" wrapText="1"/>
    </xf>
    <xf numFmtId="0" fontId="12" fillId="2" borderId="0" xfId="0" applyFont="1" applyFill="1" applyAlignment="1">
      <alignment horizontal="left"/>
    </xf>
    <xf numFmtId="0" fontId="0" fillId="11" borderId="29" xfId="0" applyFill="1" applyBorder="1" applyAlignment="1">
      <alignment horizontal="center" vertical="center"/>
    </xf>
    <xf numFmtId="0" fontId="0" fillId="11" borderId="30" xfId="0" applyFill="1" applyBorder="1" applyAlignment="1">
      <alignment horizontal="center" vertical="center"/>
    </xf>
    <xf numFmtId="0" fontId="0" fillId="5" borderId="36" xfId="0" applyFill="1" applyBorder="1" applyAlignment="1">
      <alignment horizontal="center" vertical="center" wrapText="1"/>
    </xf>
    <xf numFmtId="0" fontId="0" fillId="6" borderId="27" xfId="0" applyFill="1" applyBorder="1" applyAlignment="1">
      <alignment horizontal="center" vertical="center"/>
    </xf>
    <xf numFmtId="0" fontId="22" fillId="2" borderId="0" xfId="0" applyFont="1" applyFill="1" applyAlignment="1">
      <alignment horizontal="left" vertical="center"/>
    </xf>
    <xf numFmtId="169" fontId="19" fillId="8" borderId="63" xfId="2" applyNumberFormat="1" applyFont="1" applyFill="1" applyBorder="1" applyAlignment="1" applyProtection="1">
      <alignment horizontal="center"/>
    </xf>
    <xf numFmtId="0" fontId="12" fillId="2" borderId="0" xfId="0" applyFont="1" applyFill="1" applyAlignment="1">
      <alignment horizontal="right" vertical="center" wrapText="1"/>
    </xf>
    <xf numFmtId="1" fontId="12" fillId="2" borderId="0" xfId="0" applyNumberFormat="1" applyFont="1" applyFill="1" applyAlignment="1">
      <alignment horizontal="right" vertical="center" wrapText="1"/>
    </xf>
    <xf numFmtId="3" fontId="0" fillId="2" borderId="17" xfId="1" applyNumberFormat="1" applyFont="1" applyFill="1" applyBorder="1" applyAlignment="1">
      <alignment horizontal="center" vertical="center"/>
    </xf>
    <xf numFmtId="3" fontId="0" fillId="2" borderId="18" xfId="1" applyNumberFormat="1" applyFont="1" applyFill="1" applyBorder="1" applyAlignment="1">
      <alignment horizontal="center" vertical="center"/>
    </xf>
    <xf numFmtId="0" fontId="20" fillId="4" borderId="64" xfId="0" applyFont="1" applyFill="1" applyBorder="1" applyAlignment="1">
      <alignment horizontal="center" vertical="center"/>
    </xf>
    <xf numFmtId="0" fontId="11" fillId="4" borderId="65" xfId="0" applyFont="1" applyFill="1" applyBorder="1"/>
    <xf numFmtId="0" fontId="27" fillId="2" borderId="0" xfId="0"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0" fillId="0" borderId="0" xfId="0"/>
    <xf numFmtId="0" fontId="19" fillId="6" borderId="7"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19" fillId="2" borderId="7"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0" fillId="0" borderId="6" xfId="0" applyBorder="1"/>
    <xf numFmtId="0" fontId="0" fillId="0" borderId="10" xfId="0" applyBorder="1"/>
    <xf numFmtId="0" fontId="0" fillId="0" borderId="11" xfId="0" applyBorder="1"/>
    <xf numFmtId="0" fontId="0" fillId="0" borderId="13" xfId="0" applyBorder="1"/>
    <xf numFmtId="0" fontId="24" fillId="2" borderId="0" xfId="0" applyFont="1" applyFill="1" applyAlignment="1">
      <alignment horizontal="left" vertical="top" wrapText="1"/>
    </xf>
    <xf numFmtId="0" fontId="11" fillId="0" borderId="65"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vertical="center"/>
    </xf>
    <xf numFmtId="0" fontId="20" fillId="4" borderId="65" xfId="0"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Alignment="1">
      <alignment horizontal="left" vertical="top" wrapText="1"/>
    </xf>
    <xf numFmtId="0" fontId="28"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0" xfId="0" applyFont="1" applyFill="1" applyAlignment="1" applyProtection="1">
      <alignment horizontal="left" vertical="top"/>
      <protection locked="0"/>
    </xf>
    <xf numFmtId="0" fontId="12" fillId="2" borderId="10"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0" fontId="32" fillId="9" borderId="0" xfId="0" applyFont="1" applyFill="1" applyAlignment="1">
      <alignment horizontal="center" vertical="center"/>
    </xf>
    <xf numFmtId="0" fontId="35" fillId="4" borderId="7" xfId="0" applyFont="1" applyFill="1" applyBorder="1" applyAlignment="1">
      <alignment horizontal="center"/>
    </xf>
    <xf numFmtId="0" fontId="35" fillId="4" borderId="9" xfId="0" applyFont="1" applyFill="1" applyBorder="1" applyAlignment="1">
      <alignment horizontal="center"/>
    </xf>
    <xf numFmtId="0" fontId="35" fillId="4" borderId="11" xfId="0" applyFont="1" applyFill="1" applyBorder="1" applyAlignment="1">
      <alignment horizontal="center"/>
    </xf>
    <xf numFmtId="0" fontId="35" fillId="4" borderId="13" xfId="0" applyFont="1" applyFill="1" applyBorder="1" applyAlignment="1">
      <alignment horizontal="center"/>
    </xf>
    <xf numFmtId="0" fontId="35" fillId="4" borderId="7"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1" fillId="5" borderId="64"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7" xfId="0" applyFont="1" applyFill="1" applyBorder="1" applyAlignment="1">
      <alignment horizontal="left" vertical="top" wrapText="1"/>
    </xf>
    <xf numFmtId="0" fontId="34" fillId="2" borderId="8" xfId="0" applyFont="1" applyFill="1" applyBorder="1" applyAlignment="1">
      <alignment horizontal="left" vertical="top" wrapText="1"/>
    </xf>
    <xf numFmtId="0" fontId="34" fillId="2" borderId="9"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10"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3" xfId="0" applyFont="1" applyFill="1" applyBorder="1" applyAlignment="1">
      <alignment horizontal="left" vertical="top" wrapText="1"/>
    </xf>
    <xf numFmtId="0" fontId="23" fillId="2" borderId="0" xfId="0" applyFont="1" applyFill="1" applyAlignment="1">
      <alignment horizontal="left" wrapText="1"/>
    </xf>
    <xf numFmtId="0" fontId="12" fillId="2" borderId="64" xfId="0" applyFont="1" applyFill="1"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8" xfId="0" applyBorder="1" applyProtection="1">
      <protection locked="0"/>
    </xf>
    <xf numFmtId="0" fontId="0" fillId="0" borderId="65" xfId="0" applyBorder="1" applyProtection="1">
      <protection locked="0"/>
    </xf>
    <xf numFmtId="0" fontId="12" fillId="2" borderId="64" xfId="0" applyFont="1" applyFill="1" applyBorder="1" applyAlignment="1" applyProtection="1">
      <alignment wrapText="1"/>
      <protection locked="0"/>
    </xf>
    <xf numFmtId="0" fontId="0" fillId="0" borderId="88" xfId="0" applyBorder="1" applyAlignment="1" applyProtection="1">
      <alignment wrapText="1"/>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cellXfs>
  <cellStyles count="3">
    <cellStyle name="Millares" xfId="2" builtinId="3"/>
    <cellStyle name="Normal" xfId="0" builtinId="0"/>
    <cellStyle name="Porcentaje" xfId="1" builtinId="5"/>
  </cellStyles>
  <dxfs count="2">
    <dxf>
      <font>
        <color rgb="FFFF0000"/>
      </font>
    </dxf>
    <dxf>
      <font>
        <color rgb="FFFF0000"/>
      </font>
    </dxf>
  </dxfs>
  <tableStyles count="0" defaultTableStyle="TableStyleMedium9" defaultPivotStyle="PivotStyleLight16"/>
  <colors>
    <mruColors>
      <color rgb="FF00B7EB"/>
      <color rgb="FF33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962406</xdr:colOff>
      <xdr:row>1</xdr:row>
      <xdr:rowOff>964692</xdr:rowOff>
    </xdr:to>
    <xdr:pic>
      <xdr:nvPicPr>
        <xdr:cNvPr id="4" name="Picture 3" descr="ES Cert Mark Cyan.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7150" y="228600"/>
          <a:ext cx="905256" cy="926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47626</xdr:colOff>
      <xdr:row>1</xdr:row>
      <xdr:rowOff>31751</xdr:rowOff>
    </xdr:from>
    <xdr:to>
      <xdr:col>2</xdr:col>
      <xdr:colOff>704273</xdr:colOff>
      <xdr:row>4</xdr:row>
      <xdr:rowOff>303543</xdr:rowOff>
    </xdr:to>
    <xdr:pic>
      <xdr:nvPicPr>
        <xdr:cNvPr id="4" name="Picture 3" descr="ES Cert Mark Cya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174626" y="158751"/>
          <a:ext cx="767772" cy="795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145676</xdr:colOff>
      <xdr:row>1</xdr:row>
      <xdr:rowOff>44822</xdr:rowOff>
    </xdr:from>
    <xdr:to>
      <xdr:col>2</xdr:col>
      <xdr:colOff>604398</xdr:colOff>
      <xdr:row>4</xdr:row>
      <xdr:rowOff>134519</xdr:rowOff>
    </xdr:to>
    <xdr:pic>
      <xdr:nvPicPr>
        <xdr:cNvPr id="3" name="Picture 2" descr="ES Cert Mark Cya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57735" y="179293"/>
          <a:ext cx="638016" cy="661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4"/>
  <sheetViews>
    <sheetView showGridLines="0" showRowColHeaders="0" workbookViewId="0">
      <selection sqref="A1:C4"/>
    </sheetView>
  </sheetViews>
  <sheetFormatPr baseColWidth="10" defaultColWidth="9.140625" defaultRowHeight="14.25" x14ac:dyDescent="0.2"/>
  <cols>
    <col min="1" max="1" width="2.5703125" style="73" customWidth="1"/>
    <col min="2" max="2" width="92.85546875" style="73" customWidth="1"/>
    <col min="3" max="16384" width="9.140625" style="73"/>
  </cols>
  <sheetData>
    <row r="1" spans="2:2" ht="9" customHeight="1" thickBot="1" x14ac:dyDescent="0.25"/>
    <row r="2" spans="2:2" ht="89.25" customHeight="1" thickTop="1" x14ac:dyDescent="0.35">
      <c r="B2" s="118" t="s">
        <v>53</v>
      </c>
    </row>
    <row r="3" spans="2:2" ht="294" thickBot="1" x14ac:dyDescent="0.25">
      <c r="B3" s="119" t="s">
        <v>97</v>
      </c>
    </row>
    <row r="4" spans="2:2" ht="15" thickTop="1" x14ac:dyDescent="0.2">
      <c r="B4" s="117"/>
    </row>
  </sheetData>
  <sheetProtection algorithmName="SHA-512" hashValue="o8VfU8RKwnJAOw/2k5svEGv4nna3Wak1CsKUcthWFC9NsXSkkrv8IwmoDcLqZroIj8IxZNcXZls20MzUWsJJnQ==" saltValue="OMOG5iMn21IDREIMIIKTFQ==" spinCount="100000" sheet="1" objects="1" scenarios="1"/>
  <pageMargins left="1.2649999999999999" right="0.7" top="0.75" bottom="0.7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6"/>
  <sheetViews>
    <sheetView showGridLines="0" showRowColHeaders="0" zoomScale="70" zoomScaleNormal="70" workbookViewId="0">
      <selection activeCell="H9" sqref="H9:I12"/>
    </sheetView>
  </sheetViews>
  <sheetFormatPr baseColWidth="10" defaultColWidth="9.140625" defaultRowHeight="14.25" x14ac:dyDescent="0.2"/>
  <cols>
    <col min="1" max="1" width="1.85546875" style="73" customWidth="1"/>
    <col min="2" max="2" width="1.5703125" style="73" customWidth="1"/>
    <col min="3" max="3" width="16.5703125" style="73" customWidth="1"/>
    <col min="4" max="4" width="28.140625" style="73" customWidth="1"/>
    <col min="5" max="6" width="1.85546875" style="73" customWidth="1"/>
    <col min="7" max="7" width="2.5703125" style="73" customWidth="1"/>
    <col min="8" max="8" width="59.5703125" style="73" customWidth="1"/>
    <col min="9" max="9" width="19.140625" style="73" bestFit="1" customWidth="1"/>
    <col min="10" max="10" width="2.28515625" style="73" customWidth="1"/>
    <col min="11" max="11" width="13.5703125" style="186" customWidth="1"/>
    <col min="12" max="12" width="27.28515625" style="186" customWidth="1"/>
    <col min="13" max="13" width="1.28515625" style="186" customWidth="1"/>
    <col min="14" max="14" width="13.28515625" style="186" customWidth="1"/>
    <col min="15" max="15" width="26.140625" style="186" customWidth="1"/>
    <col min="16" max="16" width="1.28515625" style="186" customWidth="1"/>
    <col min="17" max="17" width="13.42578125" style="186" customWidth="1"/>
    <col min="18" max="18" width="27.28515625" style="186" customWidth="1"/>
    <col min="19" max="19" width="2.140625" style="73" customWidth="1"/>
    <col min="20" max="20" width="1.85546875" style="73" customWidth="1"/>
    <col min="21" max="16384" width="9.140625" style="73"/>
  </cols>
  <sheetData>
    <row r="1" spans="1:33" ht="9.75" customHeight="1" x14ac:dyDescent="0.2">
      <c r="A1" s="110"/>
      <c r="B1" s="110"/>
      <c r="C1" s="110"/>
      <c r="D1" s="110"/>
      <c r="E1" s="110"/>
      <c r="F1" s="110"/>
      <c r="G1" s="110"/>
      <c r="H1" s="110"/>
      <c r="I1" s="110"/>
      <c r="J1" s="110"/>
      <c r="K1" s="162"/>
      <c r="L1" s="162"/>
      <c r="M1" s="162"/>
      <c r="N1" s="162"/>
      <c r="O1" s="162"/>
      <c r="P1" s="162"/>
      <c r="Q1" s="162"/>
      <c r="R1" s="162"/>
      <c r="S1" s="110"/>
      <c r="T1" s="110"/>
    </row>
    <row r="2" spans="1:33" ht="14.25" customHeight="1" x14ac:dyDescent="0.2">
      <c r="A2" s="110"/>
      <c r="B2" s="216" t="s">
        <v>80</v>
      </c>
      <c r="C2" s="217"/>
      <c r="D2" s="217"/>
      <c r="E2" s="217"/>
      <c r="F2" s="217"/>
      <c r="G2" s="217"/>
      <c r="H2" s="217"/>
      <c r="I2" s="217"/>
      <c r="J2" s="217"/>
      <c r="K2" s="217"/>
      <c r="L2" s="217"/>
      <c r="M2" s="217"/>
      <c r="N2" s="217"/>
      <c r="O2" s="217"/>
      <c r="P2" s="217"/>
      <c r="Q2" s="217"/>
      <c r="R2" s="217"/>
      <c r="S2" s="217"/>
      <c r="T2" s="110"/>
    </row>
    <row r="3" spans="1:33" ht="14.25" customHeight="1" x14ac:dyDescent="0.2">
      <c r="A3" s="110"/>
      <c r="B3" s="217"/>
      <c r="C3" s="217"/>
      <c r="D3" s="217"/>
      <c r="E3" s="217"/>
      <c r="F3" s="217"/>
      <c r="G3" s="217"/>
      <c r="H3" s="217"/>
      <c r="I3" s="217"/>
      <c r="J3" s="217"/>
      <c r="K3" s="217"/>
      <c r="L3" s="217"/>
      <c r="M3" s="217"/>
      <c r="N3" s="217"/>
      <c r="O3" s="217"/>
      <c r="P3" s="217"/>
      <c r="Q3" s="217"/>
      <c r="R3" s="217"/>
      <c r="S3" s="217"/>
      <c r="T3" s="110"/>
    </row>
    <row r="4" spans="1:33" ht="14.25" customHeight="1" x14ac:dyDescent="0.2">
      <c r="A4" s="110"/>
      <c r="B4" s="217"/>
      <c r="C4" s="217"/>
      <c r="D4" s="217"/>
      <c r="E4" s="217"/>
      <c r="F4" s="217"/>
      <c r="G4" s="217"/>
      <c r="H4" s="217"/>
      <c r="I4" s="217"/>
      <c r="J4" s="217"/>
      <c r="K4" s="217"/>
      <c r="L4" s="217"/>
      <c r="M4" s="217"/>
      <c r="N4" s="217"/>
      <c r="O4" s="217"/>
      <c r="P4" s="217"/>
      <c r="Q4" s="217"/>
      <c r="R4" s="217"/>
      <c r="S4" s="217"/>
      <c r="T4" s="110"/>
    </row>
    <row r="5" spans="1:33" ht="24.75" customHeight="1" x14ac:dyDescent="0.2">
      <c r="A5" s="110"/>
      <c r="B5" s="217"/>
      <c r="C5" s="217"/>
      <c r="D5" s="217"/>
      <c r="E5" s="217"/>
      <c r="F5" s="217"/>
      <c r="G5" s="217"/>
      <c r="H5" s="217"/>
      <c r="I5" s="217"/>
      <c r="J5" s="217"/>
      <c r="K5" s="217"/>
      <c r="L5" s="217"/>
      <c r="M5" s="217"/>
      <c r="N5" s="217"/>
      <c r="O5" s="217"/>
      <c r="P5" s="217"/>
      <c r="Q5" s="217"/>
      <c r="R5" s="217"/>
      <c r="S5" s="217"/>
      <c r="T5" s="110"/>
    </row>
    <row r="6" spans="1:33" ht="9" customHeight="1" x14ac:dyDescent="0.25">
      <c r="A6" s="110"/>
      <c r="B6" s="163"/>
      <c r="C6" s="163"/>
      <c r="D6" s="163"/>
      <c r="E6" s="163"/>
      <c r="F6" s="163"/>
      <c r="G6" s="163"/>
      <c r="H6" s="163"/>
      <c r="I6" s="163"/>
      <c r="J6" s="163"/>
      <c r="K6" s="164"/>
      <c r="L6" s="164"/>
      <c r="M6" s="164"/>
      <c r="N6" s="165"/>
      <c r="O6" s="164"/>
      <c r="P6" s="164"/>
      <c r="Q6" s="164"/>
      <c r="R6" s="164"/>
      <c r="S6" s="110"/>
      <c r="T6" s="110"/>
    </row>
    <row r="7" spans="1:33" ht="34.5" customHeight="1" thickBot="1" x14ac:dyDescent="0.45">
      <c r="A7" s="110"/>
      <c r="B7" s="166"/>
      <c r="C7" s="167"/>
      <c r="D7" s="168"/>
      <c r="E7" s="168"/>
      <c r="F7" s="169"/>
      <c r="G7" s="214" t="s">
        <v>45</v>
      </c>
      <c r="H7" s="215"/>
      <c r="I7" s="215"/>
      <c r="J7" s="215"/>
      <c r="K7" s="215"/>
      <c r="L7" s="215"/>
      <c r="M7" s="215"/>
      <c r="N7" s="215"/>
      <c r="O7" s="215"/>
      <c r="P7" s="215"/>
      <c r="Q7" s="215"/>
      <c r="R7" s="215"/>
      <c r="S7" s="215"/>
      <c r="T7" s="110"/>
    </row>
    <row r="8" spans="1:33" s="174" customFormat="1" ht="39" customHeight="1" thickBot="1" x14ac:dyDescent="0.35">
      <c r="A8" s="170"/>
      <c r="B8" s="171"/>
      <c r="C8" s="212" t="s">
        <v>56</v>
      </c>
      <c r="D8" s="213"/>
      <c r="E8" s="172"/>
      <c r="F8" s="173"/>
      <c r="G8" s="171"/>
      <c r="H8" s="224" t="s">
        <v>55</v>
      </c>
      <c r="I8" s="235"/>
      <c r="J8" s="171"/>
      <c r="K8" s="224" t="str">
        <f>IF(I21="","Tested Case Temperature 1",CONCATENATE("Test Data for ",I21,"⁰C Case Temperature"))</f>
        <v>Test Data for 55⁰C Case Temperature</v>
      </c>
      <c r="L8" s="225"/>
      <c r="M8" s="171"/>
      <c r="N8" s="224" t="str">
        <f>IF(I22="","Tested Case Temperature 2",CONCATENATE("Test Data for ",I22,"⁰C Case Temperature"))</f>
        <v>Test Data for 85⁰C Case Temperature</v>
      </c>
      <c r="O8" s="225"/>
      <c r="P8" s="171"/>
      <c r="Q8" s="224" t="str">
        <f>IF(I23="","Tested Case Temperature 3",CONCATENATE("Test Data for ",I23,"⁰C Case Temperature"))</f>
        <v>Test Data for 105⁰C Case Temperature</v>
      </c>
      <c r="R8" s="225"/>
      <c r="T8" s="170"/>
    </row>
    <row r="9" spans="1:33" ht="48" customHeight="1" thickBot="1" x14ac:dyDescent="0.3">
      <c r="A9" s="110"/>
      <c r="B9" s="175"/>
      <c r="C9" s="226" t="s">
        <v>94</v>
      </c>
      <c r="D9" s="227"/>
      <c r="E9" s="176"/>
      <c r="F9" s="109"/>
      <c r="G9" s="175"/>
      <c r="H9" s="218" t="s">
        <v>101</v>
      </c>
      <c r="I9" s="219"/>
      <c r="J9" s="175"/>
      <c r="K9" s="177" t="s">
        <v>82</v>
      </c>
      <c r="L9" s="177" t="s">
        <v>54</v>
      </c>
      <c r="M9" s="178"/>
      <c r="N9" s="177" t="s">
        <v>82</v>
      </c>
      <c r="O9" s="177" t="s">
        <v>54</v>
      </c>
      <c r="P9" s="178"/>
      <c r="Q9" s="177" t="s">
        <v>82</v>
      </c>
      <c r="R9" s="177" t="s">
        <v>54</v>
      </c>
      <c r="T9" s="110"/>
      <c r="AG9" s="179"/>
    </row>
    <row r="10" spans="1:33" ht="15" customHeight="1" x14ac:dyDescent="0.25">
      <c r="A10" s="110"/>
      <c r="B10" s="175"/>
      <c r="C10" s="228"/>
      <c r="D10" s="229"/>
      <c r="E10" s="176"/>
      <c r="F10" s="109"/>
      <c r="G10" s="175"/>
      <c r="H10" s="220"/>
      <c r="I10" s="221"/>
      <c r="J10" s="175"/>
      <c r="K10" s="75">
        <v>1000</v>
      </c>
      <c r="L10" s="120">
        <v>1.0016</v>
      </c>
      <c r="M10" s="171"/>
      <c r="N10" s="75">
        <v>1000</v>
      </c>
      <c r="O10" s="121">
        <v>1.0006999999999999</v>
      </c>
      <c r="P10" s="171"/>
      <c r="Q10" s="75">
        <v>1000</v>
      </c>
      <c r="R10" s="121">
        <v>0.99909999999999999</v>
      </c>
      <c r="T10" s="110"/>
      <c r="AG10" s="179"/>
    </row>
    <row r="11" spans="1:33" ht="18" customHeight="1" x14ac:dyDescent="0.25">
      <c r="A11" s="110"/>
      <c r="B11" s="175"/>
      <c r="C11" s="228"/>
      <c r="D11" s="229"/>
      <c r="E11" s="176"/>
      <c r="F11" s="109"/>
      <c r="G11" s="175"/>
      <c r="H11" s="220"/>
      <c r="I11" s="221"/>
      <c r="J11" s="175"/>
      <c r="K11" s="76">
        <v>2000</v>
      </c>
      <c r="L11" s="122">
        <v>1.0001</v>
      </c>
      <c r="M11" s="171"/>
      <c r="N11" s="76">
        <v>2000</v>
      </c>
      <c r="O11" s="122">
        <v>0.99919999999999998</v>
      </c>
      <c r="P11" s="171"/>
      <c r="Q11" s="76">
        <v>2000</v>
      </c>
      <c r="R11" s="123">
        <v>0.99719999999999998</v>
      </c>
      <c r="T11" s="110"/>
      <c r="AG11" s="179"/>
    </row>
    <row r="12" spans="1:33" ht="18.75" customHeight="1" thickBot="1" x14ac:dyDescent="0.3">
      <c r="A12" s="110"/>
      <c r="B12" s="175"/>
      <c r="C12" s="228"/>
      <c r="D12" s="229"/>
      <c r="E12" s="176"/>
      <c r="F12" s="109"/>
      <c r="G12" s="175"/>
      <c r="H12" s="222"/>
      <c r="I12" s="223"/>
      <c r="J12" s="175"/>
      <c r="K12" s="76">
        <v>3000</v>
      </c>
      <c r="L12" s="122">
        <v>0.99870000000000003</v>
      </c>
      <c r="M12" s="171"/>
      <c r="N12" s="76">
        <v>3000</v>
      </c>
      <c r="O12" s="122">
        <v>0.99719999999999998</v>
      </c>
      <c r="P12" s="171"/>
      <c r="Q12" s="76">
        <v>3000</v>
      </c>
      <c r="R12" s="123">
        <v>0.99519999999999997</v>
      </c>
      <c r="T12" s="110"/>
      <c r="AG12" s="179"/>
    </row>
    <row r="13" spans="1:33" ht="18" customHeight="1" x14ac:dyDescent="0.25">
      <c r="A13" s="110"/>
      <c r="B13" s="175"/>
      <c r="C13" s="228"/>
      <c r="D13" s="229"/>
      <c r="E13" s="176"/>
      <c r="F13" s="109"/>
      <c r="G13" s="175"/>
      <c r="H13" s="175"/>
      <c r="I13" s="175"/>
      <c r="J13" s="175"/>
      <c r="K13" s="76">
        <v>4000</v>
      </c>
      <c r="L13" s="122">
        <v>0.99690000000000001</v>
      </c>
      <c r="M13" s="171"/>
      <c r="N13" s="76">
        <v>4000</v>
      </c>
      <c r="O13" s="122">
        <v>0.99519999999999997</v>
      </c>
      <c r="P13" s="171"/>
      <c r="Q13" s="76">
        <v>4000</v>
      </c>
      <c r="R13" s="123">
        <v>0.99309999999999998</v>
      </c>
      <c r="T13" s="110"/>
      <c r="AG13" s="179"/>
    </row>
    <row r="14" spans="1:33" ht="18.75" customHeight="1" thickBot="1" x14ac:dyDescent="0.3">
      <c r="A14" s="110"/>
      <c r="B14" s="175"/>
      <c r="C14" s="228"/>
      <c r="D14" s="229"/>
      <c r="E14" s="176"/>
      <c r="F14" s="109"/>
      <c r="G14" s="175"/>
      <c r="H14" s="175"/>
      <c r="I14" s="175"/>
      <c r="J14" s="175"/>
      <c r="K14" s="76">
        <v>5000</v>
      </c>
      <c r="L14" s="122">
        <v>0.995</v>
      </c>
      <c r="M14" s="171"/>
      <c r="N14" s="76">
        <v>5000</v>
      </c>
      <c r="O14" s="122">
        <v>0.99319999999999997</v>
      </c>
      <c r="P14" s="171"/>
      <c r="Q14" s="76">
        <v>5000</v>
      </c>
      <c r="R14" s="123">
        <v>0.9909</v>
      </c>
      <c r="T14" s="110"/>
      <c r="AG14" s="179"/>
    </row>
    <row r="15" spans="1:33" ht="18.75" customHeight="1" thickBot="1" x14ac:dyDescent="0.3">
      <c r="A15" s="110"/>
      <c r="B15" s="175"/>
      <c r="C15" s="228"/>
      <c r="D15" s="229"/>
      <c r="E15" s="176"/>
      <c r="F15" s="109"/>
      <c r="G15" s="175"/>
      <c r="H15" s="212" t="s">
        <v>47</v>
      </c>
      <c r="I15" s="238"/>
      <c r="J15" s="175"/>
      <c r="K15" s="76">
        <v>6000</v>
      </c>
      <c r="L15" s="122">
        <v>0.99319999999999997</v>
      </c>
      <c r="M15" s="171"/>
      <c r="N15" s="76">
        <v>6000</v>
      </c>
      <c r="O15" s="122">
        <v>0.99129999999999996</v>
      </c>
      <c r="P15" s="171"/>
      <c r="Q15" s="76">
        <v>6000</v>
      </c>
      <c r="R15" s="123">
        <v>0.98870000000000002</v>
      </c>
      <c r="T15" s="110"/>
      <c r="AG15" s="179"/>
    </row>
    <row r="16" spans="1:33" ht="19.5" customHeight="1" x14ac:dyDescent="0.25">
      <c r="A16" s="110"/>
      <c r="B16" s="175"/>
      <c r="C16" s="228"/>
      <c r="D16" s="229"/>
      <c r="E16" s="176"/>
      <c r="F16" s="109"/>
      <c r="G16" s="175"/>
      <c r="H16" s="180" t="s">
        <v>86</v>
      </c>
      <c r="I16" s="75">
        <v>25</v>
      </c>
      <c r="J16" s="175"/>
      <c r="K16" s="76">
        <v>7000</v>
      </c>
      <c r="L16" s="122">
        <v>0.99199999999999999</v>
      </c>
      <c r="M16" s="171"/>
      <c r="N16" s="76">
        <v>7000</v>
      </c>
      <c r="O16" s="122">
        <v>0.98980000000000001</v>
      </c>
      <c r="P16" s="171"/>
      <c r="Q16" s="76">
        <v>7000</v>
      </c>
      <c r="R16" s="123">
        <v>0.98680000000000001</v>
      </c>
      <c r="T16" s="110"/>
      <c r="AG16" s="179"/>
    </row>
    <row r="17" spans="1:33" ht="19.5" customHeight="1" x14ac:dyDescent="0.25">
      <c r="A17" s="110"/>
      <c r="B17" s="175"/>
      <c r="C17" s="228"/>
      <c r="D17" s="229"/>
      <c r="E17" s="176"/>
      <c r="F17" s="109"/>
      <c r="G17" s="175"/>
      <c r="H17" s="181" t="s">
        <v>48</v>
      </c>
      <c r="I17" s="76">
        <v>0</v>
      </c>
      <c r="J17" s="175"/>
      <c r="K17" s="76">
        <v>8000</v>
      </c>
      <c r="L17" s="122">
        <v>0.99060000000000004</v>
      </c>
      <c r="M17" s="171"/>
      <c r="N17" s="76">
        <v>8000</v>
      </c>
      <c r="O17" s="122">
        <v>0.98839999999999995</v>
      </c>
      <c r="P17" s="171"/>
      <c r="Q17" s="76">
        <v>8000</v>
      </c>
      <c r="R17" s="123">
        <v>0.9849</v>
      </c>
      <c r="T17" s="110"/>
      <c r="AG17" s="179"/>
    </row>
    <row r="18" spans="1:33" ht="19.5" customHeight="1" x14ac:dyDescent="0.25">
      <c r="A18" s="110"/>
      <c r="B18" s="175"/>
      <c r="C18" s="228"/>
      <c r="D18" s="229"/>
      <c r="E18" s="176"/>
      <c r="F18" s="109"/>
      <c r="G18" s="175"/>
      <c r="H18" s="181" t="s">
        <v>84</v>
      </c>
      <c r="I18" s="161">
        <f>IF(I16="","",I16-I17)</f>
        <v>25</v>
      </c>
      <c r="J18" s="175"/>
      <c r="K18" s="76">
        <v>9000</v>
      </c>
      <c r="L18" s="122">
        <v>0.98939999999999995</v>
      </c>
      <c r="M18" s="171"/>
      <c r="N18" s="76">
        <v>9000</v>
      </c>
      <c r="O18" s="122">
        <v>0.98699999999999999</v>
      </c>
      <c r="P18" s="171"/>
      <c r="Q18" s="76">
        <v>9000</v>
      </c>
      <c r="R18" s="123">
        <v>0.98299999999999998</v>
      </c>
      <c r="T18" s="110"/>
      <c r="AG18" s="179"/>
    </row>
    <row r="19" spans="1:33" ht="19.5" customHeight="1" x14ac:dyDescent="0.25">
      <c r="A19" s="110"/>
      <c r="B19" s="175"/>
      <c r="C19" s="228"/>
      <c r="D19" s="229"/>
      <c r="E19" s="176"/>
      <c r="F19" s="109"/>
      <c r="G19" s="175"/>
      <c r="H19" s="181" t="s">
        <v>83</v>
      </c>
      <c r="I19" s="76">
        <v>17000</v>
      </c>
      <c r="J19" s="175"/>
      <c r="K19" s="76">
        <v>10000</v>
      </c>
      <c r="L19" s="122">
        <v>0.98829999999999996</v>
      </c>
      <c r="M19" s="171"/>
      <c r="N19" s="76">
        <v>10000</v>
      </c>
      <c r="O19" s="122">
        <v>0.98560000000000003</v>
      </c>
      <c r="P19" s="171"/>
      <c r="Q19" s="76">
        <v>10000</v>
      </c>
      <c r="R19" s="123">
        <v>0.98099999999999998</v>
      </c>
      <c r="T19" s="110"/>
      <c r="AG19" s="179"/>
    </row>
    <row r="20" spans="1:33" ht="19.5" customHeight="1" x14ac:dyDescent="0.25">
      <c r="A20" s="110"/>
      <c r="B20" s="175"/>
      <c r="C20" s="228"/>
      <c r="D20" s="229"/>
      <c r="E20" s="176"/>
      <c r="F20" s="109"/>
      <c r="G20" s="175"/>
      <c r="H20" s="181" t="s">
        <v>49</v>
      </c>
      <c r="I20" s="76">
        <v>800</v>
      </c>
      <c r="J20" s="175"/>
      <c r="K20" s="76">
        <v>11000</v>
      </c>
      <c r="L20" s="122">
        <v>0.98750000000000004</v>
      </c>
      <c r="M20" s="171"/>
      <c r="N20" s="76">
        <v>11000</v>
      </c>
      <c r="O20" s="122">
        <v>0.98470000000000002</v>
      </c>
      <c r="P20" s="171"/>
      <c r="Q20" s="76">
        <v>11000</v>
      </c>
      <c r="R20" s="123">
        <v>0.97940000000000005</v>
      </c>
      <c r="T20" s="110"/>
      <c r="AG20" s="179"/>
    </row>
    <row r="21" spans="1:33" ht="19.5" customHeight="1" x14ac:dyDescent="0.25">
      <c r="A21" s="110"/>
      <c r="B21" s="175"/>
      <c r="C21" s="228"/>
      <c r="D21" s="229"/>
      <c r="E21" s="176"/>
      <c r="F21" s="109"/>
      <c r="G21" s="175"/>
      <c r="H21" s="181" t="s">
        <v>50</v>
      </c>
      <c r="I21" s="76">
        <v>55</v>
      </c>
      <c r="J21" s="175"/>
      <c r="K21" s="76">
        <v>12000</v>
      </c>
      <c r="L21" s="122">
        <v>0.98640000000000005</v>
      </c>
      <c r="M21" s="171"/>
      <c r="N21" s="76">
        <v>12000</v>
      </c>
      <c r="O21" s="122">
        <v>0.98380000000000001</v>
      </c>
      <c r="P21" s="171"/>
      <c r="Q21" s="76">
        <v>12000</v>
      </c>
      <c r="R21" s="123">
        <v>0.97760000000000002</v>
      </c>
      <c r="T21" s="110"/>
      <c r="AG21" s="179"/>
    </row>
    <row r="22" spans="1:33" ht="19.5" customHeight="1" x14ac:dyDescent="0.25">
      <c r="A22" s="110"/>
      <c r="B22" s="175"/>
      <c r="C22" s="228"/>
      <c r="D22" s="229"/>
      <c r="E22" s="176"/>
      <c r="F22" s="109"/>
      <c r="G22" s="175"/>
      <c r="H22" s="181" t="s">
        <v>51</v>
      </c>
      <c r="I22" s="76">
        <v>85</v>
      </c>
      <c r="J22" s="175"/>
      <c r="K22" s="124">
        <v>13000</v>
      </c>
      <c r="L22" s="121">
        <v>0.98550000000000004</v>
      </c>
      <c r="M22" s="171"/>
      <c r="N22" s="76">
        <v>13000</v>
      </c>
      <c r="O22" s="123">
        <v>0.9829</v>
      </c>
      <c r="P22" s="171"/>
      <c r="Q22" s="76">
        <v>13000</v>
      </c>
      <c r="R22" s="123">
        <v>0.97570000000000001</v>
      </c>
      <c r="T22" s="110"/>
      <c r="AG22" s="179"/>
    </row>
    <row r="23" spans="1:33" ht="21" customHeight="1" thickBot="1" x14ac:dyDescent="0.3">
      <c r="A23" s="110"/>
      <c r="B23" s="175"/>
      <c r="C23" s="228"/>
      <c r="D23" s="229"/>
      <c r="E23" s="176"/>
      <c r="F23" s="109"/>
      <c r="G23" s="175"/>
      <c r="H23" s="182" t="s">
        <v>52</v>
      </c>
      <c r="I23" s="77">
        <v>105</v>
      </c>
      <c r="J23" s="175"/>
      <c r="K23" s="76">
        <v>14000</v>
      </c>
      <c r="L23" s="123">
        <v>0.98460000000000003</v>
      </c>
      <c r="M23" s="171"/>
      <c r="N23" s="76">
        <v>14000</v>
      </c>
      <c r="O23" s="123">
        <v>0.98199999999999998</v>
      </c>
      <c r="P23" s="171"/>
      <c r="Q23" s="76">
        <v>14000</v>
      </c>
      <c r="R23" s="123">
        <v>0.97389999999999999</v>
      </c>
      <c r="T23" s="110"/>
    </row>
    <row r="24" spans="1:33" ht="20.25" customHeight="1" x14ac:dyDescent="0.25">
      <c r="A24" s="110"/>
      <c r="B24" s="175"/>
      <c r="C24" s="228"/>
      <c r="D24" s="229"/>
      <c r="E24" s="176"/>
      <c r="F24" s="109"/>
      <c r="G24" s="175"/>
      <c r="H24" s="239" t="str">
        <f>IF(AND(I22&lt;&gt;"",I21=""),"Please enter value for 'Tested Case Temperature 1'",IF(AND(OR(I21="",I22=""),I23&lt;&gt;""),"Please enter values for 'Tested Case Temperature 1' and Tested Case Temperature 2'",""))</f>
        <v/>
      </c>
      <c r="I24" s="239"/>
      <c r="J24" s="175"/>
      <c r="K24" s="76">
        <v>15000</v>
      </c>
      <c r="L24" s="123">
        <v>0.98370000000000002</v>
      </c>
      <c r="M24" s="171"/>
      <c r="N24" s="76">
        <v>15000</v>
      </c>
      <c r="O24" s="123">
        <v>0.98119999999999996</v>
      </c>
      <c r="P24" s="171"/>
      <c r="Q24" s="76">
        <v>15000</v>
      </c>
      <c r="R24" s="123">
        <v>0.97240000000000004</v>
      </c>
      <c r="T24" s="110"/>
    </row>
    <row r="25" spans="1:33" ht="18" customHeight="1" x14ac:dyDescent="0.25">
      <c r="A25" s="110"/>
      <c r="B25" s="175"/>
      <c r="C25" s="228"/>
      <c r="D25" s="229"/>
      <c r="E25" s="176"/>
      <c r="F25" s="109"/>
      <c r="G25" s="175"/>
      <c r="H25" s="240"/>
      <c r="I25" s="240"/>
      <c r="J25" s="175"/>
      <c r="K25" s="76">
        <v>16000</v>
      </c>
      <c r="L25" s="123">
        <v>0.98309999999999997</v>
      </c>
      <c r="M25" s="171"/>
      <c r="N25" s="76">
        <v>16000</v>
      </c>
      <c r="O25" s="123">
        <v>0.98060000000000003</v>
      </c>
      <c r="P25" s="171"/>
      <c r="Q25" s="76">
        <v>16000</v>
      </c>
      <c r="R25" s="123">
        <v>0.97099999999999997</v>
      </c>
      <c r="T25" s="110"/>
    </row>
    <row r="26" spans="1:33" ht="18.75" customHeight="1" x14ac:dyDescent="0.25">
      <c r="A26" s="110"/>
      <c r="B26" s="175"/>
      <c r="C26" s="228"/>
      <c r="D26" s="229"/>
      <c r="E26" s="176"/>
      <c r="F26" s="109"/>
      <c r="G26" s="175"/>
      <c r="H26" s="240"/>
      <c r="I26" s="240"/>
      <c r="J26" s="175"/>
      <c r="K26" s="76">
        <v>17000</v>
      </c>
      <c r="L26" s="123">
        <v>0.98250000000000004</v>
      </c>
      <c r="M26" s="171"/>
      <c r="N26" s="76">
        <v>17000</v>
      </c>
      <c r="O26" s="123">
        <v>0.9798</v>
      </c>
      <c r="P26" s="171"/>
      <c r="Q26" s="76">
        <v>17000</v>
      </c>
      <c r="R26" s="123">
        <v>0.96989999999999998</v>
      </c>
      <c r="T26" s="110"/>
    </row>
    <row r="27" spans="1:33" ht="21" customHeight="1" x14ac:dyDescent="0.25">
      <c r="A27" s="110"/>
      <c r="B27" s="175"/>
      <c r="C27" s="228"/>
      <c r="D27" s="229"/>
      <c r="E27" s="176"/>
      <c r="F27" s="109"/>
      <c r="G27" s="175"/>
      <c r="J27" s="175"/>
      <c r="K27" s="76"/>
      <c r="L27" s="123"/>
      <c r="M27" s="171"/>
      <c r="N27" s="76"/>
      <c r="O27" s="123"/>
      <c r="P27" s="171"/>
      <c r="Q27" s="76"/>
      <c r="R27" s="123"/>
      <c r="T27" s="110"/>
    </row>
    <row r="28" spans="1:33" ht="18.75" customHeight="1" x14ac:dyDescent="0.25">
      <c r="A28" s="110"/>
      <c r="B28" s="175"/>
      <c r="C28" s="228"/>
      <c r="D28" s="229"/>
      <c r="E28" s="176"/>
      <c r="F28" s="109"/>
      <c r="G28" s="175"/>
      <c r="J28" s="183"/>
      <c r="K28" s="76"/>
      <c r="L28" s="123"/>
      <c r="M28" s="171"/>
      <c r="N28" s="76"/>
      <c r="O28" s="123"/>
      <c r="P28" s="171"/>
      <c r="Q28" s="76"/>
      <c r="R28" s="123"/>
      <c r="T28" s="110"/>
    </row>
    <row r="29" spans="1:33" ht="19.5" customHeight="1" thickBot="1" x14ac:dyDescent="0.25">
      <c r="A29" s="110"/>
      <c r="B29" s="183"/>
      <c r="C29" s="228"/>
      <c r="D29" s="229"/>
      <c r="E29" s="184"/>
      <c r="F29" s="185"/>
      <c r="G29" s="183"/>
      <c r="J29" s="183"/>
      <c r="K29" s="77"/>
      <c r="L29" s="125"/>
      <c r="M29" s="171"/>
      <c r="N29" s="77"/>
      <c r="O29" s="125"/>
      <c r="P29" s="171"/>
      <c r="Q29" s="77"/>
      <c r="R29" s="125"/>
      <c r="T29" s="110"/>
    </row>
    <row r="30" spans="1:33" ht="23.25" customHeight="1" x14ac:dyDescent="0.25">
      <c r="A30" s="110"/>
      <c r="B30" s="183"/>
      <c r="C30" s="228"/>
      <c r="D30" s="229"/>
      <c r="E30" s="183"/>
      <c r="F30" s="185"/>
      <c r="G30" s="183"/>
      <c r="J30" s="183"/>
      <c r="K30" s="206" t="str">
        <f>IF(OR('Calculations - Case Temp 1'!C26="FAIL",'Calculations - Case Temp 2'!C26="FAIL",'Calculations - Case Temp 3'!C26="FAIL"),"Data measurement points must be equally dispersed in time. Please see TM-21 Addendum A for details.","")</f>
        <v/>
      </c>
      <c r="L30" s="178"/>
      <c r="M30" s="178"/>
      <c r="N30" s="178"/>
      <c r="O30" s="178"/>
      <c r="P30" s="178"/>
      <c r="Q30" s="178"/>
      <c r="R30" s="178"/>
      <c r="T30" s="110"/>
    </row>
    <row r="31" spans="1:33" ht="10.5" customHeight="1" x14ac:dyDescent="0.25">
      <c r="A31" s="110"/>
      <c r="B31" s="184"/>
      <c r="C31" s="228"/>
      <c r="D31" s="229"/>
      <c r="E31" s="184"/>
      <c r="F31" s="185"/>
      <c r="G31" s="185"/>
      <c r="H31" s="110"/>
      <c r="I31" s="110"/>
      <c r="J31" s="185"/>
      <c r="K31" s="164"/>
      <c r="L31" s="164"/>
      <c r="M31" s="164"/>
      <c r="N31" s="164"/>
      <c r="O31" s="164"/>
      <c r="P31" s="164"/>
      <c r="Q31" s="164"/>
      <c r="R31" s="164"/>
      <c r="S31" s="110"/>
      <c r="T31" s="110"/>
    </row>
    <row r="32" spans="1:33" ht="27" customHeight="1" thickBot="1" x14ac:dyDescent="0.3">
      <c r="A32" s="110"/>
      <c r="B32" s="184"/>
      <c r="C32" s="228"/>
      <c r="D32" s="229"/>
      <c r="E32" s="184"/>
      <c r="F32" s="185"/>
      <c r="G32" s="183"/>
      <c r="H32" s="214" t="s">
        <v>89</v>
      </c>
      <c r="I32" s="241"/>
      <c r="K32" s="178"/>
      <c r="N32" s="178"/>
      <c r="O32" s="178"/>
      <c r="P32" s="164"/>
      <c r="Q32" s="178"/>
      <c r="R32" s="178"/>
    </row>
    <row r="33" spans="1:18" ht="37.5" customHeight="1" x14ac:dyDescent="0.25">
      <c r="A33" s="110"/>
      <c r="B33" s="184"/>
      <c r="C33" s="228"/>
      <c r="D33" s="229"/>
      <c r="E33" s="184"/>
      <c r="F33" s="185"/>
      <c r="H33" s="187" t="s">
        <v>91</v>
      </c>
      <c r="I33" s="75">
        <f>(943.5/2)</f>
        <v>471.75</v>
      </c>
      <c r="J33" s="74" t="str">
        <f>IF(I33&gt;I20,"The drive current of the chip in the luminaire must be less than or equal to the chip as tested under LM-80.","")</f>
        <v/>
      </c>
      <c r="K33" s="188"/>
      <c r="L33" s="188"/>
      <c r="N33" s="178"/>
      <c r="O33" s="178"/>
      <c r="P33" s="110"/>
      <c r="Q33" s="178"/>
      <c r="R33" s="178"/>
    </row>
    <row r="34" spans="1:18" ht="23.25" customHeight="1" x14ac:dyDescent="0.25">
      <c r="A34" s="110"/>
      <c r="B34" s="184"/>
      <c r="C34" s="228"/>
      <c r="D34" s="229"/>
      <c r="E34" s="184"/>
      <c r="F34" s="185"/>
      <c r="H34" s="189" t="s">
        <v>92</v>
      </c>
      <c r="I34" s="76">
        <v>68.94</v>
      </c>
      <c r="J34" s="190" t="str">
        <f>IF('TM-21 Inputs'!I34&gt;MAX('TM-21 Inputs'!I21:I23),"In situ case temperature must be less than or equal to the maximum LM-80 test temperature.","")</f>
        <v/>
      </c>
      <c r="K34" s="191"/>
      <c r="L34" s="191"/>
      <c r="M34" s="192"/>
      <c r="N34" s="178"/>
      <c r="O34" s="178"/>
      <c r="P34" s="110"/>
      <c r="Q34" s="178"/>
      <c r="R34" s="178"/>
    </row>
    <row r="35" spans="1:18" ht="40.5" customHeight="1" thickBot="1" x14ac:dyDescent="0.3">
      <c r="A35" s="110"/>
      <c r="B35" s="184"/>
      <c r="C35" s="228"/>
      <c r="D35" s="229"/>
      <c r="E35" s="184"/>
      <c r="F35" s="185"/>
      <c r="H35" s="193" t="s">
        <v>93</v>
      </c>
      <c r="I35" s="77">
        <v>80</v>
      </c>
      <c r="J35" s="194"/>
      <c r="K35" s="191"/>
      <c r="L35" s="191"/>
      <c r="M35" s="192"/>
      <c r="N35" s="178"/>
      <c r="O35" s="178"/>
      <c r="P35" s="110"/>
      <c r="Q35" s="178"/>
      <c r="R35" s="178"/>
    </row>
    <row r="36" spans="1:18" ht="11.25" customHeight="1" x14ac:dyDescent="0.25">
      <c r="A36" s="110"/>
      <c r="B36" s="184"/>
      <c r="C36" s="228"/>
      <c r="D36" s="229"/>
      <c r="E36" s="184"/>
      <c r="F36" s="185"/>
      <c r="H36" s="112"/>
      <c r="J36" s="195"/>
      <c r="K36" s="195"/>
      <c r="L36" s="196"/>
      <c r="M36" s="192"/>
      <c r="N36" s="178"/>
      <c r="O36" s="178"/>
      <c r="P36" s="110"/>
      <c r="Q36" s="178"/>
      <c r="R36" s="178"/>
    </row>
    <row r="37" spans="1:18" ht="11.25" customHeight="1" x14ac:dyDescent="0.25">
      <c r="A37" s="110"/>
      <c r="B37" s="197"/>
      <c r="C37" s="228"/>
      <c r="D37" s="229"/>
      <c r="E37" s="197"/>
      <c r="F37" s="185"/>
      <c r="G37" s="163"/>
      <c r="H37" s="198"/>
      <c r="I37" s="110"/>
      <c r="J37" s="163"/>
      <c r="K37" s="164"/>
      <c r="L37" s="164"/>
      <c r="M37" s="164"/>
      <c r="N37" s="164"/>
      <c r="O37" s="164"/>
      <c r="P37" s="164"/>
      <c r="Q37" s="178"/>
      <c r="R37" s="178"/>
    </row>
    <row r="38" spans="1:18" ht="23.25" customHeight="1" x14ac:dyDescent="0.25">
      <c r="A38" s="110"/>
      <c r="B38" s="197"/>
      <c r="C38" s="228"/>
      <c r="D38" s="229"/>
      <c r="E38" s="197"/>
      <c r="F38" s="185"/>
      <c r="H38" s="236" t="s">
        <v>9</v>
      </c>
      <c r="I38" s="237"/>
      <c r="K38" s="178"/>
      <c r="L38" s="178"/>
      <c r="N38" s="178"/>
      <c r="O38" s="178"/>
      <c r="P38" s="164"/>
      <c r="Q38" s="178"/>
      <c r="R38" s="178"/>
    </row>
    <row r="39" spans="1:18" ht="4.5" customHeight="1" thickBot="1" x14ac:dyDescent="0.25">
      <c r="A39" s="110"/>
      <c r="C39" s="228"/>
      <c r="D39" s="229"/>
      <c r="F39" s="185"/>
      <c r="H39" s="112"/>
      <c r="P39" s="162"/>
    </row>
    <row r="40" spans="1:18" ht="33.75" customHeight="1" x14ac:dyDescent="0.2">
      <c r="A40" s="110"/>
      <c r="C40" s="228"/>
      <c r="D40" s="229"/>
      <c r="F40" s="185"/>
      <c r="H40" s="187" t="s">
        <v>90</v>
      </c>
      <c r="I40" s="126">
        <v>100000</v>
      </c>
      <c r="J40" s="160"/>
      <c r="P40" s="162"/>
    </row>
    <row r="41" spans="1:18" ht="18.75" thickBot="1" x14ac:dyDescent="0.25">
      <c r="A41" s="110"/>
      <c r="C41" s="228"/>
      <c r="D41" s="229"/>
      <c r="F41" s="185"/>
      <c r="H41" s="193" t="s">
        <v>46</v>
      </c>
      <c r="I41" s="127">
        <f>IFERROR(IF(K30="",IF(I40="","",IF('TM-21 Inputs'!I34="","",'Product Inputs'!C14*EXP(-I40*'Product Inputs'!C16))),""),"")</f>
        <v>0.9078262689898029</v>
      </c>
      <c r="J41" s="234" t="str">
        <f>IFERROR(IF(OR('TM-21 Report'!M13&lt;0,'TM-21 Report'!M17&lt;0),"One or more of the tests resulted in negative L70 values. Please refer to sections 5.2.5 and 6.4 of IES TM-21-11 for instructions on how to estimate the reported lumen maintenance life (L70).",IF(I18="","",IF('Product Inputs'!C18="error","Number of samples measured must be ≥10. Please enter the correct number of samples in above",""))),"")</f>
        <v/>
      </c>
      <c r="K41" s="234"/>
      <c r="L41" s="234"/>
      <c r="M41" s="234"/>
      <c r="N41" s="234"/>
      <c r="O41" s="234"/>
      <c r="P41" s="162"/>
    </row>
    <row r="42" spans="1:18" ht="18.75" customHeight="1" thickBot="1" x14ac:dyDescent="0.3">
      <c r="A42" s="110"/>
      <c r="C42" s="230"/>
      <c r="D42" s="231"/>
      <c r="F42" s="185"/>
      <c r="H42" s="199" t="str">
        <f>IF(I35="","Reported LM (hours):",CONCATENATE("Reported L",'TM-21 Inputs'!I35," (hours):"))</f>
        <v>Reported L80 (hours):</v>
      </c>
      <c r="I42" s="207" t="str">
        <f>IFERROR(IF(K30="",IF('Product Inputs'!C18="error","",'Product Inputs'!C18),""),"")</f>
        <v>&gt;102000</v>
      </c>
      <c r="J42" s="234"/>
      <c r="K42" s="234"/>
      <c r="L42" s="234"/>
      <c r="M42" s="234"/>
      <c r="N42" s="234"/>
      <c r="O42" s="234"/>
      <c r="P42" s="162"/>
    </row>
    <row r="43" spans="1:18" ht="18.75" thickBot="1" x14ac:dyDescent="0.25">
      <c r="A43" s="110"/>
      <c r="C43" s="232"/>
      <c r="D43" s="233"/>
      <c r="F43" s="185"/>
      <c r="J43" s="234"/>
      <c r="K43" s="234"/>
      <c r="L43" s="234"/>
      <c r="M43" s="234"/>
      <c r="N43" s="234"/>
      <c r="O43" s="234"/>
      <c r="P43" s="162"/>
    </row>
    <row r="44" spans="1:18" ht="11.25" customHeight="1" x14ac:dyDescent="0.2">
      <c r="A44" s="110"/>
      <c r="F44" s="185"/>
      <c r="J44" s="200"/>
      <c r="K44" s="200"/>
      <c r="L44" s="201"/>
      <c r="M44" s="201"/>
      <c r="N44" s="201"/>
      <c r="O44" s="201"/>
      <c r="P44" s="162"/>
    </row>
    <row r="45" spans="1:18" ht="11.25" customHeight="1" x14ac:dyDescent="0.25">
      <c r="A45" s="110"/>
      <c r="B45" s="110"/>
      <c r="C45" s="110"/>
      <c r="D45" s="110"/>
      <c r="E45" s="110"/>
      <c r="F45" s="110"/>
      <c r="G45" s="110"/>
      <c r="H45" s="110"/>
      <c r="I45" s="110"/>
      <c r="J45" s="110"/>
      <c r="K45" s="162"/>
      <c r="L45" s="162"/>
      <c r="M45" s="164"/>
      <c r="N45" s="164"/>
      <c r="O45" s="164"/>
      <c r="P45" s="162"/>
    </row>
    <row r="46" spans="1:18" ht="15" x14ac:dyDescent="0.2">
      <c r="C46" s="160"/>
    </row>
  </sheetData>
  <sheetProtection algorithmName="SHA-512" hashValue="LU+hbIkMIdwnHC9Cn1ssl0WVqg18n1MHIXivCVbgy+/sjSb+zNfaZWCa6bD87suVkn2tvQzOV4eOg3dwamMmBw==" saltValue="YmzfotCtbTAdSrPnKzdTYg==" spinCount="100000" sheet="1" objects="1" scenarios="1"/>
  <mergeCells count="14">
    <mergeCell ref="C8:D8"/>
    <mergeCell ref="G7:S7"/>
    <mergeCell ref="B2:S5"/>
    <mergeCell ref="H9:I12"/>
    <mergeCell ref="K8:L8"/>
    <mergeCell ref="N8:O8"/>
    <mergeCell ref="Q8:R8"/>
    <mergeCell ref="C9:D43"/>
    <mergeCell ref="J41:O43"/>
    <mergeCell ref="H8:I8"/>
    <mergeCell ref="H38:I38"/>
    <mergeCell ref="H15:I15"/>
    <mergeCell ref="H24:I26"/>
    <mergeCell ref="H32:I32"/>
  </mergeCells>
  <conditionalFormatting sqref="I18">
    <cfRule type="cellIs" dxfId="1" priority="1" operator="lessThan">
      <formula>10</formula>
    </cfRule>
  </conditionalFormatting>
  <pageMargins left="1.2649999999999999" right="0.7" top="0.75" bottom="0.75" header="0.3" footer="0.3"/>
  <pageSetup paperSize="9" scale="40" orientation="landscape" horizontalDpi="300" verticalDpi="300" r:id="rId1"/>
  <colBreaks count="1" manualBreakCount="1">
    <brk id="20" max="1048575" man="1"/>
  </colBreaks>
  <ignoredErrors>
    <ignoredError sqref="J34" formulaRange="1"/>
    <ignoredError sqref="I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M18"/>
  <sheetViews>
    <sheetView showGridLines="0" showRowColHeaders="0" zoomScale="70" zoomScaleNormal="70" workbookViewId="0">
      <selection activeCell="L27" sqref="L27"/>
    </sheetView>
  </sheetViews>
  <sheetFormatPr baseColWidth="10" defaultColWidth="9.140625" defaultRowHeight="15" x14ac:dyDescent="0.25"/>
  <cols>
    <col min="1" max="1" width="9.140625" style="59"/>
    <col min="2" max="2" width="44.85546875" style="59" customWidth="1"/>
    <col min="3" max="3" width="15.42578125" style="59" customWidth="1"/>
    <col min="4" max="4" width="12.28515625" style="1" bestFit="1" customWidth="1"/>
    <col min="5" max="5" width="9.140625" style="1"/>
    <col min="6" max="6" width="19.85546875" style="1" customWidth="1"/>
    <col min="7" max="7" width="13" style="1" customWidth="1"/>
    <col min="8" max="8" width="2.85546875" style="1" customWidth="1"/>
    <col min="9" max="9" width="19.85546875" style="1" bestFit="1" customWidth="1"/>
    <col min="10" max="10" width="13" style="1" customWidth="1"/>
    <col min="11" max="11" width="2.7109375" style="1" customWidth="1"/>
    <col min="12" max="12" width="19.85546875" style="1" bestFit="1" customWidth="1"/>
    <col min="13" max="13" width="13" style="1" customWidth="1"/>
    <col min="14" max="16384" width="9.140625" style="1"/>
  </cols>
  <sheetData>
    <row r="2" spans="2:13" ht="15.75" thickBot="1" x14ac:dyDescent="0.3">
      <c r="B2" s="60" t="s">
        <v>34</v>
      </c>
      <c r="C2" s="71">
        <f>COUNTIF('TM-21 Inputs'!I21:I23,"&gt;="&amp;0)</f>
        <v>3</v>
      </c>
    </row>
    <row r="3" spans="2:13" ht="33.75" thickBot="1" x14ac:dyDescent="0.3">
      <c r="B3" s="61" t="s">
        <v>36</v>
      </c>
      <c r="C3" s="62">
        <f>IF(OR(C15='Product Inputs'!G7,C15='Product Inputs'!J7,C15='Product Inputs'!M7),C15,IF(C15&gt;MAX('Product Inputs'!G7,'Product Inputs'!J7,'Product Inputs'!M7),"In situ case temp too high",IF(C2=1,'Product Inputs'!G7,IF(AND(C2=2,C15&lt;MIN('Product Inputs'!G7,'Product Inputs'!J7)),'Product Inputs'!G7,IF(AND(C2=2,C15&gt;MIN('Product Inputs'!G7,'Product Inputs'!J7),C15&lt;MAX('Product Inputs'!G7,'Product Inputs'!J7)),MIN('Product Inputs'!G7,'Product Inputs'!J7),IF(AND(C2=3,C15&lt;MIN('Product Inputs'!G7,'Product Inputs'!J7,'Product Inputs'!M7)),'Product Inputs'!G7,IF(AND(C2=3,C15&gt;MIN('Product Inputs'!G7,'Product Inputs'!J7,'Product Inputs'!M7),C15&lt;MEDIAN('Product Inputs'!G7,'Product Inputs'!J7,'Product Inputs'!M7)),MIN('Product Inputs'!G7,'Product Inputs'!J7,'Product Inputs'!M7),IF(AND(C2=3,C15&gt;MEDIAN('Product Inputs'!G7,'Product Inputs'!J7,'Product Inputs'!M7),C15&lt;MAX('Product Inputs'!G7,'Product Inputs'!J7,'Product Inputs'!M7)),MEDIAN('Product Inputs'!G7,'Product Inputs'!J7,'Product Inputs'!M7),"error"))))))))</f>
        <v>328.15</v>
      </c>
    </row>
    <row r="4" spans="2:13" ht="18" x14ac:dyDescent="0.25">
      <c r="B4" s="63" t="s">
        <v>20</v>
      </c>
      <c r="C4" s="100">
        <f>IF(C3='Product Inputs'!G7,'Product Inputs'!G8,IF(C3='Product Inputs'!J7,'Product Inputs'!J8,IF(C3='Product Inputs'!M7,'Product Inputs'!M8)))</f>
        <v>9.1922300951281085E-7</v>
      </c>
      <c r="F4" s="242" t="s">
        <v>57</v>
      </c>
      <c r="G4" s="243"/>
      <c r="H4" s="243"/>
      <c r="I4" s="243"/>
      <c r="J4" s="243"/>
      <c r="K4" s="243"/>
      <c r="L4" s="243"/>
      <c r="M4" s="244"/>
    </row>
    <row r="5" spans="2:13" ht="18.75" thickBot="1" x14ac:dyDescent="0.3">
      <c r="B5" s="64" t="s">
        <v>21</v>
      </c>
      <c r="C5" s="101">
        <f>IF(C3='Product Inputs'!G7,'Product Inputs'!G9,IF(C3='Product Inputs'!J7,'Product Inputs'!J9,IF(C3='Product Inputs'!M7,'Product Inputs'!M9)))</f>
        <v>0.99755310891785831</v>
      </c>
      <c r="F5" s="245" t="s">
        <v>12</v>
      </c>
      <c r="G5" s="246"/>
      <c r="H5" s="78"/>
      <c r="I5" s="247" t="s">
        <v>13</v>
      </c>
      <c r="J5" s="246"/>
      <c r="K5" s="78"/>
      <c r="L5" s="247" t="s">
        <v>14</v>
      </c>
      <c r="M5" s="248"/>
    </row>
    <row r="6" spans="2:13" ht="33" x14ac:dyDescent="0.25">
      <c r="B6" s="61" t="s">
        <v>37</v>
      </c>
      <c r="C6" s="65">
        <f>IF(OR(C15='Product Inputs'!G7,C15='Product Inputs'!J7,C15='Product Inputs'!M7,C2=1),"N/A",IF(C15&gt;MAX('Product Inputs'!G7,'Product Inputs'!J7,'Product Inputs'!M7),"N/A",IF(OR(AND(C2=3,C15&lt;=MIN('Product Inputs'!G7,'Product Inputs'!J7,'Product Inputs'!M7)),AND(C15&lt;=MIN('Product Inputs'!G7,'Product Inputs'!J7),C2=2)),"N/A",IF(AND(C2=2,C15&gt;MIN('Product Inputs'!G7,'Product Inputs'!J7),C15&lt;MAX('Product Inputs'!G7,'Product Inputs'!J7)),MAX('Product Inputs'!G7,'Product Inputs'!J7),IF(AND(C2=3,C15&gt;MIN('Product Inputs'!G7,'Product Inputs'!J7,'Product Inputs'!M7),C15&lt;MEDIAN('Product Inputs'!G7,'Product Inputs'!J7,'Product Inputs'!M7)),MEDIAN('Product Inputs'!G7,'Product Inputs'!J7,'Product Inputs'!M7),IF(AND(C2=3,C15&gt;MEDIAN('Product Inputs'!G7,'Product Inputs'!J7,'Product Inputs'!M7),C15&lt;MAX('Product Inputs'!G7,'Product Inputs'!J7,'Product Inputs'!M7)),MAX('Product Inputs'!G7,'Product Inputs'!J7,'Product Inputs'!M7),"error"))))))</f>
        <v>358.15</v>
      </c>
      <c r="F6" s="79" t="s">
        <v>10</v>
      </c>
      <c r="G6" s="80">
        <f>IF('TM-21 Inputs'!I21="","",'TM-21 Inputs'!I21)</f>
        <v>55</v>
      </c>
      <c r="H6" s="81"/>
      <c r="I6" s="82" t="s">
        <v>10</v>
      </c>
      <c r="J6" s="80">
        <f>IF('TM-21 Inputs'!I22="","",'TM-21 Inputs'!I22)</f>
        <v>85</v>
      </c>
      <c r="K6" s="81"/>
      <c r="L6" s="82" t="s">
        <v>10</v>
      </c>
      <c r="M6" s="83">
        <f>IF('TM-21 Inputs'!I23="","",'TM-21 Inputs'!I23)</f>
        <v>105</v>
      </c>
    </row>
    <row r="7" spans="2:13" x14ac:dyDescent="0.25">
      <c r="B7" s="63" t="s">
        <v>22</v>
      </c>
      <c r="C7" s="100">
        <f>IF(C6="N/A","N/A",IF(C6='Product Inputs'!G7,'Product Inputs'!G8,IF(C6='Product Inputs'!J7,'Product Inputs'!J8,IF(C6='Product Inputs'!M7,'Product Inputs'!M8))))</f>
        <v>9.4371339494180349E-7</v>
      </c>
      <c r="F7" s="84" t="s">
        <v>11</v>
      </c>
      <c r="G7" s="85">
        <f>IF(G6="","",G6+273.15)</f>
        <v>328.15</v>
      </c>
      <c r="H7" s="81"/>
      <c r="I7" s="86" t="s">
        <v>11</v>
      </c>
      <c r="J7" s="85">
        <f>IF(J6="","",J6+273.15)</f>
        <v>358.15</v>
      </c>
      <c r="K7" s="87"/>
      <c r="L7" s="86" t="s">
        <v>11</v>
      </c>
      <c r="M7" s="88">
        <f>IF(M6="","",M6+273.15)</f>
        <v>378.15</v>
      </c>
    </row>
    <row r="8" spans="2:13" ht="18.75" thickBot="1" x14ac:dyDescent="0.3">
      <c r="B8" s="64" t="s">
        <v>23</v>
      </c>
      <c r="C8" s="101">
        <f>IF(C6="N/A","N/A",IF(C6='Product Inputs'!G7,'Product Inputs'!G9,IF(C6='Product Inputs'!J7,'Product Inputs'!J9,IF(C6='Product Inputs'!M7,'Product Inputs'!M9))))</f>
        <v>0.99526795618765529</v>
      </c>
      <c r="F8" s="84" t="str">
        <f>'Calculations - Case Temp 1'!E31</f>
        <v>α:</v>
      </c>
      <c r="G8" s="89">
        <f>IF(G6="","",'Calculations - Case Temp 1'!F31)</f>
        <v>9.1922300951281085E-7</v>
      </c>
      <c r="H8" s="87"/>
      <c r="I8" s="86" t="str">
        <f>'Calculations - Case Temp 2'!E31</f>
        <v>α:</v>
      </c>
      <c r="J8" s="89">
        <f>IF(J6="","",'Calculations - Case Temp 2'!F31)</f>
        <v>9.4371339494180349E-7</v>
      </c>
      <c r="K8" s="87"/>
      <c r="L8" s="86" t="str">
        <f>'Calculations - Case Temp 3'!E31</f>
        <v>α:</v>
      </c>
      <c r="M8" s="90">
        <f>IF(M6="","",'Calculations - Case Temp 3'!F31)</f>
        <v>1.7392052351510254E-6</v>
      </c>
    </row>
    <row r="9" spans="2:13" ht="18" x14ac:dyDescent="0.25">
      <c r="B9" s="66" t="s">
        <v>19</v>
      </c>
      <c r="C9" s="65">
        <f>IF(OR(C6="N/A",'TM-21 Inputs'!I34=""),"",IF(AND(C3&gt;0,C6&gt;0),(LN(C4)-LN(C7))/((1/C6)-(1/C3)),"error"))</f>
        <v>103.00746889575666</v>
      </c>
      <c r="F9" s="84" t="str">
        <f>'Calculations - Case Temp 1'!E32</f>
        <v>B:</v>
      </c>
      <c r="G9" s="91">
        <f>IF(G6="","",'Calculations - Case Temp 1'!F32)</f>
        <v>0.99755310891785831</v>
      </c>
      <c r="H9" s="87"/>
      <c r="I9" s="86" t="str">
        <f>'Calculations - Case Temp 2'!E32</f>
        <v>B:</v>
      </c>
      <c r="J9" s="91">
        <f>IF(J6="","",'Calculations - Case Temp 2'!F32)</f>
        <v>0.99526795618765529</v>
      </c>
      <c r="K9" s="87"/>
      <c r="L9" s="86" t="str">
        <f>'Calculations - Case Temp 3'!E32</f>
        <v>B:</v>
      </c>
      <c r="M9" s="92">
        <f>IF(M6="","",'Calculations - Case Temp 3'!F32)</f>
        <v>0.99833745959000542</v>
      </c>
    </row>
    <row r="10" spans="2:13" hidden="1" x14ac:dyDescent="0.25">
      <c r="F10" s="84" t="str">
        <f>'Calculations - Case Temp 1'!E33</f>
        <v>Calculated L80 (hrs):</v>
      </c>
      <c r="G10" s="93">
        <f>IF(G6="","",IF('Calculations - Case Temp 1'!C26="FAIL","",'Calculations - Case Temp 1'!F33))</f>
        <v>240000</v>
      </c>
      <c r="H10" s="87"/>
      <c r="I10" s="86" t="str">
        <f>'Calculations - Case Temp 2'!E33</f>
        <v>Calculated L80 (hrs):</v>
      </c>
      <c r="J10" s="93">
        <f>IF(J6="","",IF('Calculations - Case Temp 2'!C26="FAIL","",'Calculations - Case Temp 2'!F33))</f>
        <v>231000</v>
      </c>
      <c r="K10" s="87"/>
      <c r="L10" s="86" t="str">
        <f>'Calculations - Case Temp 3'!E33</f>
        <v>Calculated L80 (hrs):</v>
      </c>
      <c r="M10" s="94">
        <f>IF(M6="","",IF('Calculations - Case Temp 3'!C26="FAIL","",'Calculations - Case Temp 3'!F33))</f>
        <v>127000</v>
      </c>
    </row>
    <row r="11" spans="2:13" ht="18.75" thickBot="1" x14ac:dyDescent="0.3">
      <c r="B11" s="67" t="s">
        <v>24</v>
      </c>
      <c r="C11" s="68">
        <f>8.6173*(10^-5)</f>
        <v>8.6173000000000003E-5</v>
      </c>
      <c r="F11" s="95" t="str">
        <f>'Calculations - Case Temp 1'!E34</f>
        <v>Reported L80 (hrs):</v>
      </c>
      <c r="G11" s="96" t="str">
        <f>IF(G6="","",IF('Calculations - Case Temp 1'!C26="FAIL","",'Calculations - Case Temp 1'!F34))</f>
        <v>&gt;102000</v>
      </c>
      <c r="H11" s="97"/>
      <c r="I11" s="98" t="str">
        <f>'Calculations - Case Temp 2'!E34</f>
        <v>Reported L80 (hrs):</v>
      </c>
      <c r="J11" s="96" t="str">
        <f>IF(J6="","",IF('Calculations - Case Temp 2'!C26="FAIL","",'Calculations - Case Temp 2'!F34))</f>
        <v>&gt;102000</v>
      </c>
      <c r="K11" s="97"/>
      <c r="L11" s="98" t="str">
        <f>'Calculations - Case Temp 3'!E34</f>
        <v>Reported L80 (hrs):</v>
      </c>
      <c r="M11" s="99" t="str">
        <f>IF(M6="","",IF('Calculations - Case Temp 3'!C26="FAIL","",'Calculations - Case Temp 3'!F34))</f>
        <v>&gt;102000</v>
      </c>
    </row>
    <row r="12" spans="2:13" ht="18" x14ac:dyDescent="0.25">
      <c r="B12" s="67" t="s">
        <v>25</v>
      </c>
      <c r="C12" s="68">
        <f>IF(OR(C6="N/A",'TM-21 Inputs'!I34=""),"",C9*C11)</f>
        <v>8.8764626171540396E-3</v>
      </c>
    </row>
    <row r="13" spans="2:13" x14ac:dyDescent="0.25">
      <c r="B13" s="67" t="s">
        <v>2</v>
      </c>
      <c r="C13" s="100">
        <f>IF(OR(C6="N/A",'TM-21 Inputs'!I34=""),"",IF('TM-21 Inputs'!I34="","",C4*EXP(C12/(C11*C3))))</f>
        <v>1.2581936574055781E-6</v>
      </c>
    </row>
    <row r="14" spans="2:13" ht="18.75" thickBot="1" x14ac:dyDescent="0.3">
      <c r="B14" s="69" t="s">
        <v>26</v>
      </c>
      <c r="C14" s="101">
        <f>IF('TM-21 Inputs'!I34="","",IF(C6="N/A",C5,IF('TM-21 Inputs'!I34="","",SQRT(C5*C8))))</f>
        <v>0.99640987746073573</v>
      </c>
      <c r="I14" s="1" t="s">
        <v>58</v>
      </c>
    </row>
    <row r="15" spans="2:13" ht="18" x14ac:dyDescent="0.25">
      <c r="B15" s="61" t="s">
        <v>38</v>
      </c>
      <c r="C15" s="70">
        <f>IF('TM-21 Inputs'!I34="","",'TM-21 Inputs'!I34+273.15)</f>
        <v>342.09</v>
      </c>
    </row>
    <row r="16" spans="2:13" ht="18" x14ac:dyDescent="0.25">
      <c r="B16" s="63" t="s">
        <v>27</v>
      </c>
      <c r="C16" s="100">
        <f>IF('TM-21 Inputs'!I34="","",IF(C6="N/A",C4,C13*(EXP(-C9/C15))))</f>
        <v>9.3105669903966509E-7</v>
      </c>
    </row>
    <row r="17" spans="2:3" hidden="1" x14ac:dyDescent="0.25">
      <c r="B17" s="67" t="str">
        <f>CONCATENATE("Calculated L",'TM-21 Inputs'!I35," (hrs):")</f>
        <v>Calculated L80 (hrs):</v>
      </c>
      <c r="C17" s="107">
        <f>IF('TM-21 Inputs'!I34="","",ROUND((LN(100*C14/'TM-21 Inputs'!I35)/C16),-3))</f>
        <v>236000</v>
      </c>
    </row>
    <row r="18" spans="2:3" ht="15.75" thickBot="1" x14ac:dyDescent="0.3">
      <c r="B18" s="69" t="str">
        <f>CONCATENATE("Reported L",'TM-21 Inputs'!I35," (hrs):")</f>
        <v>Reported L80 (hrs):</v>
      </c>
      <c r="C18" s="106" t="str">
        <f>IF(C17="","",IF(OR(AND('TM-21 Inputs'!$I$18&gt;=20,$C$17&lt;6*'TM-21 Inputs'!$I$19),AND('TM-21 Inputs'!$I$18&gt;=10,'TM-21 Inputs'!$I$18&lt;=19,$C$17&lt;5.5*'TM-21 Inputs'!$I$19)),ROUND(C17,-3),IF('TM-21 Inputs'!$I$18&gt;=20,CONCATENATE("&gt;",ROUND((6*'TM-21 Inputs'!$I$19),-3)),IF(AND('TM-21 Inputs'!$I$18&gt;=10,'TM-21 Inputs'!$I$18&lt;=19),CONCATENATE("&gt;",ROUND(5.5*'TM-21 Inputs'!$I$19,-3)),"error"))))</f>
        <v>&gt;102000</v>
      </c>
    </row>
  </sheetData>
  <sheetProtection algorithmName="SHA-512" hashValue="CTEgrUcfPCYn+U7uvAOmetpnfcWq7GXyiKinW44cQ1sI/E1MRw06QAJ0mUhMvgvZAbeHd9+jc9GWqUyiYlSHnQ==" saltValue="JwBtMSdDNTaCslxZ/rM0rg==" spinCount="100000" sheet="1" objects="1" scenarios="1"/>
  <mergeCells count="4">
    <mergeCell ref="F4:M4"/>
    <mergeCell ref="F5:G5"/>
    <mergeCell ref="I5:J5"/>
    <mergeCell ref="L5:M5"/>
  </mergeCells>
  <conditionalFormatting sqref="C3">
    <cfRule type="cellIs" dxfId="0" priority="1" operator="equal">
      <formula>"In situ case temp too high"</formula>
    </cfRule>
  </conditionalFormatting>
  <pageMargins left="1.2649999999999999" right="0.7" top="0.75" bottom="0.75" header="0.3" footer="0.3"/>
  <pageSetup paperSize="9" scale="95" orientation="landscape" horizontalDpi="300" verticalDpi="300"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5"/>
  <sheetViews>
    <sheetView showGridLines="0" showRowColHeaders="0" topLeftCell="J1" workbookViewId="0">
      <selection activeCell="J1" sqref="J1:M16"/>
    </sheetView>
  </sheetViews>
  <sheetFormatPr baseColWidth="10" defaultColWidth="9.140625" defaultRowHeight="15" x14ac:dyDescent="0.25"/>
  <cols>
    <col min="1" max="1" width="0" style="1" hidden="1" customWidth="1"/>
    <col min="2" max="2" width="37.85546875" style="1" hidden="1" customWidth="1"/>
    <col min="3" max="3" width="12" style="1" hidden="1" customWidth="1"/>
    <col min="4" max="4" width="0" style="1" hidden="1" customWidth="1"/>
    <col min="5" max="5" width="37.85546875" style="1" hidden="1" customWidth="1"/>
    <col min="6" max="6" width="12" style="1" hidden="1" customWidth="1"/>
    <col min="7" max="7" width="0" style="1" hidden="1" customWidth="1"/>
    <col min="8" max="8" width="37.85546875" style="1" hidden="1" customWidth="1"/>
    <col min="9" max="9" width="12" style="1" hidden="1" customWidth="1"/>
    <col min="10" max="10" width="9.140625" style="1"/>
    <col min="11" max="11" width="19.28515625" style="1" bestFit="1" customWidth="1"/>
    <col min="12" max="12" width="12" style="1" bestFit="1" customWidth="1"/>
    <col min="13" max="16384" width="9.140625" style="1"/>
  </cols>
  <sheetData>
    <row r="1" spans="2:12" ht="15.75" thickBot="1" x14ac:dyDescent="0.3"/>
    <row r="2" spans="2:12" ht="18" x14ac:dyDescent="0.35">
      <c r="B2" s="47" t="s">
        <v>39</v>
      </c>
      <c r="C2" s="58">
        <f>'TM-21 Inputs'!I16</f>
        <v>25</v>
      </c>
      <c r="E2" s="47" t="s">
        <v>39</v>
      </c>
      <c r="F2" s="58">
        <f>'TM-21 Inputs'!I16</f>
        <v>25</v>
      </c>
      <c r="H2" s="47" t="s">
        <v>39</v>
      </c>
      <c r="I2" s="58">
        <f>'TM-21 Inputs'!I16</f>
        <v>25</v>
      </c>
      <c r="K2" s="42" t="s">
        <v>28</v>
      </c>
      <c r="L2" s="54">
        <f>IFERROR('Product Inputs'!C3-273.15,"")</f>
        <v>55</v>
      </c>
    </row>
    <row r="3" spans="2:12" ht="18" x14ac:dyDescent="0.35">
      <c r="B3" s="46" t="s">
        <v>40</v>
      </c>
      <c r="C3" s="48">
        <f>'TM-21 Inputs'!I17</f>
        <v>0</v>
      </c>
      <c r="E3" s="46" t="s">
        <v>40</v>
      </c>
      <c r="F3" s="48">
        <f>'TM-21 Inputs'!I17</f>
        <v>0</v>
      </c>
      <c r="H3" s="46" t="s">
        <v>40</v>
      </c>
      <c r="I3" s="48">
        <f>'TM-21 Inputs'!I17</f>
        <v>0</v>
      </c>
      <c r="K3" s="43" t="s">
        <v>29</v>
      </c>
      <c r="L3" s="55">
        <f>'Product Inputs'!C3</f>
        <v>328.15</v>
      </c>
    </row>
    <row r="4" spans="2:12" ht="18" x14ac:dyDescent="0.35">
      <c r="B4" s="46" t="s">
        <v>0</v>
      </c>
      <c r="C4" s="48">
        <f>'TM-21 Inputs'!I18</f>
        <v>25</v>
      </c>
      <c r="E4" s="46" t="s">
        <v>0</v>
      </c>
      <c r="F4" s="48">
        <f>'TM-21 Inputs'!I18</f>
        <v>25</v>
      </c>
      <c r="H4" s="46" t="s">
        <v>0</v>
      </c>
      <c r="I4" s="48">
        <f>'TM-21 Inputs'!I18</f>
        <v>25</v>
      </c>
      <c r="K4" s="44" t="s">
        <v>20</v>
      </c>
      <c r="L4" s="102">
        <f>'Product Inputs'!C4</f>
        <v>9.1922300951281085E-7</v>
      </c>
    </row>
    <row r="5" spans="2:12" ht="18.75" thickBot="1" x14ac:dyDescent="0.4">
      <c r="B5" s="46" t="s">
        <v>41</v>
      </c>
      <c r="C5" s="48">
        <f>'TM-21 Inputs'!I20</f>
        <v>800</v>
      </c>
      <c r="E5" s="46" t="s">
        <v>41</v>
      </c>
      <c r="F5" s="48">
        <f>'TM-21 Inputs'!I20</f>
        <v>800</v>
      </c>
      <c r="H5" s="46" t="s">
        <v>41</v>
      </c>
      <c r="I5" s="48">
        <f>'TM-21 Inputs'!I20</f>
        <v>800</v>
      </c>
      <c r="K5" s="45" t="s">
        <v>21</v>
      </c>
      <c r="L5" s="104">
        <f>'Product Inputs'!C5</f>
        <v>0.99755310891785831</v>
      </c>
    </row>
    <row r="6" spans="2:12" ht="18" x14ac:dyDescent="0.35">
      <c r="B6" s="46" t="s">
        <v>42</v>
      </c>
      <c r="C6" s="48">
        <f>'TM-21 Inputs'!I19</f>
        <v>17000</v>
      </c>
      <c r="E6" s="46" t="s">
        <v>42</v>
      </c>
      <c r="F6" s="48">
        <f>'TM-21 Inputs'!I19</f>
        <v>17000</v>
      </c>
      <c r="H6" s="46" t="s">
        <v>42</v>
      </c>
      <c r="I6" s="48">
        <f>IF(I8="","",'TM-21 Inputs'!I19)</f>
        <v>17000</v>
      </c>
      <c r="K6" s="42" t="s">
        <v>35</v>
      </c>
      <c r="L6" s="54">
        <f>IFERROR('Product Inputs'!C6-273.15,"")</f>
        <v>85</v>
      </c>
    </row>
    <row r="7" spans="2:12" ht="31.5" x14ac:dyDescent="0.35">
      <c r="B7" s="46" t="s">
        <v>43</v>
      </c>
      <c r="C7" s="49">
        <f>C6-MIN('Calculations - Case Temp 1'!E6:E25)</f>
        <v>9000</v>
      </c>
      <c r="E7" s="46" t="s">
        <v>43</v>
      </c>
      <c r="F7" s="49">
        <f>C6-MIN('Calculations - Case Temp 2'!E6:E25)</f>
        <v>9000</v>
      </c>
      <c r="H7" s="46" t="s">
        <v>43</v>
      </c>
      <c r="I7" s="49">
        <f>IF(I8="","",C6-MIN('Calculations - Case Temp 3'!E6:E25))</f>
        <v>9000</v>
      </c>
      <c r="K7" s="43" t="s">
        <v>30</v>
      </c>
      <c r="L7" s="56">
        <f>'Product Inputs'!C6</f>
        <v>358.15</v>
      </c>
    </row>
    <row r="8" spans="2:12" ht="18" x14ac:dyDescent="0.35">
      <c r="B8" s="46" t="s">
        <v>44</v>
      </c>
      <c r="C8" s="48">
        <f>IF('TM-21 Inputs'!I21="","",'TM-21 Inputs'!I21)</f>
        <v>55</v>
      </c>
      <c r="E8" s="46" t="s">
        <v>44</v>
      </c>
      <c r="F8" s="48">
        <f>IF('TM-21 Inputs'!I22="","",'TM-21 Inputs'!I22)</f>
        <v>85</v>
      </c>
      <c r="H8" s="46" t="s">
        <v>44</v>
      </c>
      <c r="I8" s="48">
        <f>IF('TM-21 Inputs'!I23="","",'TM-21 Inputs'!I23)</f>
        <v>105</v>
      </c>
      <c r="K8" s="44" t="s">
        <v>31</v>
      </c>
      <c r="L8" s="102">
        <f>'Product Inputs'!C7</f>
        <v>9.4371339494180349E-7</v>
      </c>
    </row>
    <row r="9" spans="2:12" ht="18.75" thickBot="1" x14ac:dyDescent="0.4">
      <c r="B9" s="44" t="s">
        <v>17</v>
      </c>
      <c r="C9" s="50">
        <f>'Calculations - Case Temp 1'!F31</f>
        <v>9.1922300951281085E-7</v>
      </c>
      <c r="E9" s="44" t="s">
        <v>17</v>
      </c>
      <c r="F9" s="50">
        <f>'Calculations - Case Temp 2'!F31</f>
        <v>9.4371339494180349E-7</v>
      </c>
      <c r="H9" s="44" t="s">
        <v>17</v>
      </c>
      <c r="I9" s="50">
        <f>IF(I8="","",'Calculations - Case Temp 3'!F31)</f>
        <v>1.7392052351510254E-6</v>
      </c>
      <c r="K9" s="45" t="s">
        <v>23</v>
      </c>
      <c r="L9" s="104">
        <f>'Product Inputs'!C8</f>
        <v>0.99526795618765529</v>
      </c>
    </row>
    <row r="10" spans="2:12" ht="18" x14ac:dyDescent="0.35">
      <c r="B10" s="46" t="s">
        <v>18</v>
      </c>
      <c r="C10" s="50">
        <f>'Calculations - Case Temp 1'!F32</f>
        <v>0.99755310891785831</v>
      </c>
      <c r="E10" s="46" t="s">
        <v>18</v>
      </c>
      <c r="F10" s="50">
        <f>'Calculations - Case Temp 2'!F32</f>
        <v>0.99526795618765529</v>
      </c>
      <c r="H10" s="46" t="s">
        <v>18</v>
      </c>
      <c r="I10" s="50">
        <f>IF(I8="","",'Calculations - Case Temp 3'!F32)</f>
        <v>0.99833745959000542</v>
      </c>
      <c r="K10" s="42" t="s">
        <v>19</v>
      </c>
      <c r="L10" s="57">
        <f>'Product Inputs'!C9</f>
        <v>103.00746889575666</v>
      </c>
    </row>
    <row r="11" spans="2:12" x14ac:dyDescent="0.25">
      <c r="B11" s="46" t="str">
        <f>CONCATENATE("Calculated L",'TM-21 Inputs'!I35," (hrs):")</f>
        <v>Calculated L80 (hrs):</v>
      </c>
      <c r="C11" s="51">
        <f>'Calculations - Case Temp 1'!F33</f>
        <v>240000</v>
      </c>
      <c r="E11" s="46" t="str">
        <f>CONCATENATE("Calculated L",'TM-21 Inputs'!I35," (hrs):")</f>
        <v>Calculated L80 (hrs):</v>
      </c>
      <c r="F11" s="51">
        <f>'Calculations - Case Temp 2'!F33</f>
        <v>231000</v>
      </c>
      <c r="H11" s="46" t="str">
        <f>CONCATENATE("Calculated L",'TM-21 Inputs'!I35," (hrs):")</f>
        <v>Calculated L80 (hrs):</v>
      </c>
      <c r="I11" s="51">
        <f>IF(I8="","",'Calculations - Case Temp 3'!F33)</f>
        <v>127000</v>
      </c>
      <c r="K11" s="43" t="s">
        <v>2</v>
      </c>
      <c r="L11" s="104">
        <f>'Product Inputs'!C13</f>
        <v>1.2581936574055781E-6</v>
      </c>
    </row>
    <row r="12" spans="2:12" ht="18.75" thickBot="1" x14ac:dyDescent="0.4">
      <c r="B12" s="52" t="str">
        <f>CONCATENATE("Reported L",'TM-21 Inputs'!I35," (hrs):")</f>
        <v>Reported L80 (hrs):</v>
      </c>
      <c r="C12" s="53" t="str">
        <f>'Calculations - Case Temp 1'!F34</f>
        <v>&gt;102000</v>
      </c>
      <c r="E12" s="52" t="str">
        <f>CONCATENATE("Reported L",'TM-21 Inputs'!I35," (hrs):")</f>
        <v>Reported L80 (hrs):</v>
      </c>
      <c r="F12" s="53" t="str">
        <f>'Calculations - Case Temp 2'!F34</f>
        <v>&gt;102000</v>
      </c>
      <c r="H12" s="52" t="str">
        <f>CONCATENATE("Reported L",'TM-21 Inputs'!I35," (hrs):")</f>
        <v>Reported L80 (hrs):</v>
      </c>
      <c r="I12" s="53" t="str">
        <f>IF(I8="","",'Calculations - Case Temp 3'!F34)</f>
        <v>&gt;102000</v>
      </c>
      <c r="K12" s="45" t="s">
        <v>26</v>
      </c>
      <c r="L12" s="105">
        <f>'Product Inputs'!C14</f>
        <v>0.99640987746073573</v>
      </c>
    </row>
    <row r="13" spans="2:12" ht="18" x14ac:dyDescent="0.35">
      <c r="K13" s="42" t="s">
        <v>32</v>
      </c>
      <c r="L13" s="58">
        <f>IF('Product Inputs'!C15="","",'Product Inputs'!C15-273.15)</f>
        <v>68.94</v>
      </c>
    </row>
    <row r="14" spans="2:12" ht="18" x14ac:dyDescent="0.35">
      <c r="K14" s="43" t="s">
        <v>33</v>
      </c>
      <c r="L14" s="48">
        <f>'Product Inputs'!C15</f>
        <v>342.09</v>
      </c>
    </row>
    <row r="15" spans="2:12" ht="18.75" thickBot="1" x14ac:dyDescent="0.4">
      <c r="K15" s="72" t="s">
        <v>27</v>
      </c>
      <c r="L15" s="103">
        <f>'Product Inputs'!C16</f>
        <v>9.3105669903966509E-7</v>
      </c>
    </row>
  </sheetData>
  <sheetProtection password="C066" sheet="1" objects="1" scenarios="1"/>
  <pageMargins left="1.2649999999999999" right="0.7" top="0.75" bottom="0.75" header="0.3" footer="0.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O32"/>
  <sheetViews>
    <sheetView showGridLines="0" showRowColHeaders="0" tabSelected="1" topLeftCell="A22" zoomScale="85" zoomScaleNormal="85" workbookViewId="0">
      <selection activeCell="J30" sqref="J30:M32"/>
    </sheetView>
  </sheetViews>
  <sheetFormatPr baseColWidth="10" defaultColWidth="9.140625" defaultRowHeight="15" x14ac:dyDescent="0.25"/>
  <cols>
    <col min="1" max="1" width="1.85546875" style="1" customWidth="1"/>
    <col min="2" max="2" width="2.7109375" style="1" customWidth="1"/>
    <col min="3" max="3" width="23" style="1" customWidth="1"/>
    <col min="4" max="4" width="13.7109375" style="1" customWidth="1"/>
    <col min="5" max="5" width="2.140625" style="1" customWidth="1"/>
    <col min="6" max="6" width="23" style="1" customWidth="1"/>
    <col min="7" max="7" width="13.7109375" style="1" customWidth="1"/>
    <col min="8" max="8" width="2.140625" style="1" customWidth="1"/>
    <col min="9" max="9" width="23" style="1" customWidth="1"/>
    <col min="10" max="10" width="13.7109375" style="1" customWidth="1"/>
    <col min="11" max="11" width="3.85546875" style="1" customWidth="1"/>
    <col min="12" max="12" width="17.5703125" style="1" customWidth="1"/>
    <col min="13" max="13" width="33.28515625" style="1" customWidth="1"/>
    <col min="14" max="14" width="2.42578125" style="1" customWidth="1"/>
    <col min="15" max="15" width="1.85546875" style="1" customWidth="1"/>
    <col min="16" max="16384" width="9.140625" style="1"/>
  </cols>
  <sheetData>
    <row r="1" spans="1:15" ht="11.25" customHeight="1" x14ac:dyDescent="0.25">
      <c r="A1" s="109"/>
      <c r="B1" s="109"/>
      <c r="C1" s="110"/>
      <c r="D1" s="110"/>
      <c r="E1" s="110"/>
      <c r="F1" s="110"/>
      <c r="G1" s="110"/>
      <c r="H1" s="110"/>
      <c r="I1" s="110"/>
      <c r="J1" s="110"/>
      <c r="K1" s="110"/>
      <c r="L1" s="110"/>
      <c r="M1" s="110"/>
      <c r="N1" s="110"/>
      <c r="O1" s="110"/>
    </row>
    <row r="2" spans="1:15" ht="15" customHeight="1" x14ac:dyDescent="0.25">
      <c r="A2" s="109"/>
      <c r="B2" s="258" t="s">
        <v>87</v>
      </c>
      <c r="C2" s="258"/>
      <c r="D2" s="258"/>
      <c r="E2" s="258"/>
      <c r="F2" s="258"/>
      <c r="G2" s="258"/>
      <c r="H2" s="258"/>
      <c r="I2" s="258"/>
      <c r="J2" s="258"/>
      <c r="K2" s="258"/>
      <c r="L2" s="258"/>
      <c r="M2" s="258"/>
      <c r="N2" s="258"/>
      <c r="O2" s="110"/>
    </row>
    <row r="3" spans="1:15" ht="15" customHeight="1" x14ac:dyDescent="0.25">
      <c r="A3" s="109"/>
      <c r="B3" s="258"/>
      <c r="C3" s="258"/>
      <c r="D3" s="258"/>
      <c r="E3" s="258"/>
      <c r="F3" s="258"/>
      <c r="G3" s="258"/>
      <c r="H3" s="258"/>
      <c r="I3" s="258"/>
      <c r="J3" s="258"/>
      <c r="K3" s="258"/>
      <c r="L3" s="258"/>
      <c r="M3" s="258"/>
      <c r="N3" s="258"/>
      <c r="O3" s="110"/>
    </row>
    <row r="4" spans="1:15" ht="15" customHeight="1" x14ac:dyDescent="0.25">
      <c r="A4" s="109"/>
      <c r="B4" s="258"/>
      <c r="C4" s="258"/>
      <c r="D4" s="258"/>
      <c r="E4" s="258"/>
      <c r="F4" s="258"/>
      <c r="G4" s="258"/>
      <c r="H4" s="258"/>
      <c r="I4" s="258"/>
      <c r="J4" s="258"/>
      <c r="K4" s="258"/>
      <c r="L4" s="258"/>
      <c r="M4" s="258"/>
      <c r="N4" s="258"/>
      <c r="O4" s="110"/>
    </row>
    <row r="5" spans="1:15" ht="12" customHeight="1" x14ac:dyDescent="0.25">
      <c r="A5" s="109"/>
      <c r="B5" s="258"/>
      <c r="C5" s="258"/>
      <c r="D5" s="258"/>
      <c r="E5" s="258"/>
      <c r="F5" s="258"/>
      <c r="G5" s="258"/>
      <c r="H5" s="258"/>
      <c r="I5" s="258"/>
      <c r="J5" s="258"/>
      <c r="K5" s="258"/>
      <c r="L5" s="258"/>
      <c r="M5" s="258"/>
      <c r="N5" s="258"/>
      <c r="O5" s="110"/>
    </row>
    <row r="6" spans="1:15" ht="8.25" customHeight="1" x14ac:dyDescent="0.25">
      <c r="A6" s="109"/>
      <c r="B6" s="258"/>
      <c r="C6" s="258"/>
      <c r="D6" s="258"/>
      <c r="E6" s="258"/>
      <c r="F6" s="258"/>
      <c r="G6" s="258"/>
      <c r="H6" s="258"/>
      <c r="I6" s="258"/>
      <c r="J6" s="258"/>
      <c r="K6" s="258"/>
      <c r="L6" s="258"/>
      <c r="M6" s="258"/>
      <c r="N6" s="258"/>
      <c r="O6" s="110"/>
    </row>
    <row r="7" spans="1:15" ht="10.5" customHeight="1" x14ac:dyDescent="0.25">
      <c r="A7" s="109"/>
      <c r="B7" s="110"/>
      <c r="C7" s="110"/>
      <c r="D7" s="110"/>
      <c r="E7" s="110"/>
      <c r="F7" s="110"/>
      <c r="G7" s="110"/>
      <c r="H7" s="110"/>
      <c r="I7" s="110"/>
      <c r="J7" s="110"/>
      <c r="K7" s="110"/>
      <c r="L7" s="110"/>
      <c r="M7" s="110"/>
      <c r="N7" s="110"/>
      <c r="O7" s="109"/>
    </row>
    <row r="8" spans="1:15" ht="15.75" thickBot="1" x14ac:dyDescent="0.3">
      <c r="A8" s="109"/>
      <c r="B8" s="73"/>
      <c r="C8" s="73"/>
      <c r="D8" s="73"/>
      <c r="E8" s="73"/>
      <c r="F8" s="73"/>
      <c r="G8" s="73"/>
      <c r="H8" s="73"/>
      <c r="I8" s="73"/>
      <c r="J8" s="73"/>
      <c r="K8" s="73"/>
      <c r="L8" s="73"/>
      <c r="M8" s="73"/>
      <c r="N8" s="73"/>
      <c r="O8" s="110"/>
    </row>
    <row r="9" spans="1:15" ht="15.75" thickBot="1" x14ac:dyDescent="0.3">
      <c r="A9" s="109"/>
      <c r="B9" s="73"/>
      <c r="C9" s="263" t="s">
        <v>57</v>
      </c>
      <c r="D9" s="264"/>
      <c r="E9" s="264"/>
      <c r="F9" s="264"/>
      <c r="G9" s="264"/>
      <c r="H9" s="264"/>
      <c r="I9" s="264"/>
      <c r="J9" s="265"/>
      <c r="K9" s="73"/>
      <c r="L9" s="259" t="s">
        <v>81</v>
      </c>
      <c r="M9" s="260"/>
      <c r="N9" s="73"/>
      <c r="O9" s="110"/>
    </row>
    <row r="10" spans="1:15" ht="15" customHeight="1" thickBot="1" x14ac:dyDescent="0.3">
      <c r="A10" s="109"/>
      <c r="B10" s="73"/>
      <c r="C10" s="268" t="s">
        <v>88</v>
      </c>
      <c r="D10" s="269"/>
      <c r="E10" s="270"/>
      <c r="F10" s="277" t="str">
        <f>IF('TM-21 Inputs'!H9="","",'TM-21 Inputs'!H9)</f>
        <v>RALED III 80 LED 235W (Se evalua en ta de 25°C)                                                                          UHE Y DA-UHE LM-80-15 OSCONIQ S 5050 GTG REPORT ANSI/IES LM-80-20 800mA 17000H Test Report.N01A240811172L00101, COD. LAB: 26-0295, Corriente Driver:943.5mA, Cada Modulo:943.5mA, Corriente LED:471.75mA</v>
      </c>
      <c r="G10" s="278"/>
      <c r="H10" s="278"/>
      <c r="I10" s="278"/>
      <c r="J10" s="279"/>
      <c r="K10" s="73"/>
      <c r="L10" s="261" t="s">
        <v>85</v>
      </c>
      <c r="M10" s="262"/>
      <c r="N10" s="73"/>
      <c r="O10" s="110"/>
    </row>
    <row r="11" spans="1:15" ht="18.75" x14ac:dyDescent="0.25">
      <c r="A11" s="109"/>
      <c r="B11" s="73"/>
      <c r="C11" s="271"/>
      <c r="D11" s="272"/>
      <c r="E11" s="273"/>
      <c r="F11" s="280"/>
      <c r="G11" s="281"/>
      <c r="H11" s="281"/>
      <c r="I11" s="281"/>
      <c r="J11" s="282"/>
      <c r="K11" s="73"/>
      <c r="L11" s="141" t="s">
        <v>67</v>
      </c>
      <c r="M11" s="149">
        <f>IF('TM-21 Projection'!L2="","-",'TM-21 Projection'!L2)</f>
        <v>55</v>
      </c>
      <c r="N11" s="73"/>
      <c r="O11" s="110"/>
    </row>
    <row r="12" spans="1:15" ht="28.5" customHeight="1" thickBot="1" x14ac:dyDescent="0.3">
      <c r="A12" s="109"/>
      <c r="B12" s="73"/>
      <c r="C12" s="274"/>
      <c r="D12" s="275"/>
      <c r="E12" s="276"/>
      <c r="F12" s="283"/>
      <c r="G12" s="284"/>
      <c r="H12" s="284"/>
      <c r="I12" s="284"/>
      <c r="J12" s="285"/>
      <c r="K12" s="73"/>
      <c r="L12" s="142" t="s">
        <v>68</v>
      </c>
      <c r="M12" s="150">
        <f>IF(OR('TM-21 Projection'!L3="",'TM-21 Projection'!L3="In situ case temp too high"),"-",'TM-21 Projection'!L3)</f>
        <v>328.15</v>
      </c>
      <c r="N12" s="73"/>
      <c r="O12" s="110"/>
    </row>
    <row r="13" spans="1:15" ht="19.5" thickBot="1" x14ac:dyDescent="0.3">
      <c r="A13" s="109"/>
      <c r="B13" s="73"/>
      <c r="C13" s="266" t="str">
        <f>IF('TM-21 Inputs'!I21="","",CONCATENATE("Test Condition 1 - ",'TM-21 Inputs'!I21,"⁰C Case Temp"))</f>
        <v>Test Condition 1 - 55⁰C Case Temp</v>
      </c>
      <c r="D13" s="267"/>
      <c r="E13" s="111"/>
      <c r="F13" s="266" t="str">
        <f>IF('TM-21 Inputs'!I22="","",CONCATENATE("Test Condition 2 - ",'TM-21 Inputs'!I22,"⁰C Case Temp"))</f>
        <v>Test Condition 2 - 85⁰C Case Temp</v>
      </c>
      <c r="G13" s="267"/>
      <c r="H13" s="111"/>
      <c r="I13" s="266" t="str">
        <f>IF('TM-21 Inputs'!I23="","",CONCATENATE("Test Condition 3 - ",'TM-21 Inputs'!I23,"⁰C Case Temp"))</f>
        <v>Test Condition 3 - 105⁰C Case Temp</v>
      </c>
      <c r="J13" s="267"/>
      <c r="K13" s="73"/>
      <c r="L13" s="143" t="s">
        <v>69</v>
      </c>
      <c r="M13" s="151">
        <f>IF('TM-21 Projection'!L4="","-",'TM-21 Projection'!L4)</f>
        <v>9.1922300951281085E-7</v>
      </c>
      <c r="N13" s="73"/>
      <c r="O13" s="110"/>
    </row>
    <row r="14" spans="1:15" s="116" customFormat="1" ht="18.75" x14ac:dyDescent="0.25">
      <c r="A14" s="109"/>
      <c r="B14" s="112"/>
      <c r="C14" s="128" t="s">
        <v>64</v>
      </c>
      <c r="D14" s="132">
        <f>IF(OR('TM-21 Inputs'!$I$16="",C13=""),"-",'TM-21 Inputs'!$I$16)</f>
        <v>25</v>
      </c>
      <c r="E14" s="113"/>
      <c r="F14" s="128" t="str">
        <f>C14</f>
        <v>Sample size</v>
      </c>
      <c r="G14" s="132">
        <f>IF(OR('TM-21 Inputs'!$I$16="",F13=""),"-",'TM-21 Inputs'!$I$16)</f>
        <v>25</v>
      </c>
      <c r="H14" s="113"/>
      <c r="I14" s="128" t="str">
        <f>C14</f>
        <v>Sample size</v>
      </c>
      <c r="J14" s="132">
        <f>IF(OR('TM-21 Inputs'!$I$16="",I13=""),"-",'TM-21 Inputs'!$I$16)</f>
        <v>25</v>
      </c>
      <c r="K14" s="112"/>
      <c r="L14" s="144" t="s">
        <v>70</v>
      </c>
      <c r="M14" s="152">
        <f>IF('TM-21 Projection'!L5="","-",'TM-21 Projection'!L5)</f>
        <v>0.99755310891785831</v>
      </c>
      <c r="N14" s="112"/>
      <c r="O14" s="110"/>
    </row>
    <row r="15" spans="1:15" s="116" customFormat="1" ht="18.75" x14ac:dyDescent="0.25">
      <c r="A15" s="109"/>
      <c r="B15" s="112"/>
      <c r="C15" s="128" t="s">
        <v>63</v>
      </c>
      <c r="D15" s="132">
        <f>IF(OR('TM-21 Inputs'!$I$17="",C13=""),"-",'TM-21 Inputs'!$I$17)</f>
        <v>0</v>
      </c>
      <c r="E15" s="113"/>
      <c r="F15" s="128" t="str">
        <f t="shared" ref="F15:F21" si="0">C15</f>
        <v>Number of failures</v>
      </c>
      <c r="G15" s="132">
        <f>IF(OR('TM-21 Inputs'!$I$17="",F13=""),"-",'TM-21 Inputs'!$I$17)</f>
        <v>0</v>
      </c>
      <c r="H15" s="113"/>
      <c r="I15" s="128" t="str">
        <f t="shared" ref="I15:I21" si="1">C15</f>
        <v>Number of failures</v>
      </c>
      <c r="J15" s="132">
        <f>IF(OR('TM-21 Inputs'!$I$17="",I13=""),"-",'TM-21 Inputs'!$I$17)</f>
        <v>0</v>
      </c>
      <c r="K15" s="112"/>
      <c r="L15" s="145" t="s">
        <v>71</v>
      </c>
      <c r="M15" s="153">
        <f>IF('TM-21 Projection'!L6="","-",'TM-21 Projection'!L6)</f>
        <v>85</v>
      </c>
      <c r="N15" s="112"/>
      <c r="O15" s="110"/>
    </row>
    <row r="16" spans="1:15" s="116" customFormat="1" ht="28.5" x14ac:dyDescent="0.25">
      <c r="A16" s="109"/>
      <c r="B16" s="112"/>
      <c r="C16" s="128" t="s">
        <v>62</v>
      </c>
      <c r="D16" s="132">
        <f>IF(OR('TM-21 Inputs'!$I$20="",C13=""),"-",'TM-21 Inputs'!$I$20)</f>
        <v>800</v>
      </c>
      <c r="E16" s="113"/>
      <c r="F16" s="128" t="str">
        <f t="shared" si="0"/>
        <v>DUT drive current used in the test (mA)</v>
      </c>
      <c r="G16" s="132">
        <f>IF(OR('TM-21 Inputs'!$I$20="",F13=""),"-",'TM-21 Inputs'!$I$20)</f>
        <v>800</v>
      </c>
      <c r="H16" s="113"/>
      <c r="I16" s="128" t="str">
        <f t="shared" si="1"/>
        <v>DUT drive current used in the test (mA)</v>
      </c>
      <c r="J16" s="132">
        <f>IF(OR('TM-21 Inputs'!$I$20="",I13=""),"-",'TM-21 Inputs'!$I$20)</f>
        <v>800</v>
      </c>
      <c r="K16" s="112"/>
      <c r="L16" s="142" t="s">
        <v>72</v>
      </c>
      <c r="M16" s="154">
        <f>IF(OR('TM-21 Projection'!L7="",'TM-21 Projection'!L7="N/A"),"-",'TM-21 Projection'!L7)</f>
        <v>358.15</v>
      </c>
      <c r="N16" s="112"/>
      <c r="O16" s="110"/>
    </row>
    <row r="17" spans="1:15" s="116" customFormat="1" ht="18.75" x14ac:dyDescent="0.25">
      <c r="A17" s="109"/>
      <c r="B17" s="112"/>
      <c r="C17" s="128" t="s">
        <v>65</v>
      </c>
      <c r="D17" s="133">
        <f>IF(OR('TM-21 Inputs'!I19="",C13=""),"-",'TM-21 Inputs'!I19)</f>
        <v>17000</v>
      </c>
      <c r="E17" s="113"/>
      <c r="F17" s="128" t="str">
        <f t="shared" si="0"/>
        <v>Test duration (hours)</v>
      </c>
      <c r="G17" s="139">
        <f>IF(OR('TM-21 Inputs'!I19="",F13=""),"-",'TM-21 Inputs'!I19)</f>
        <v>17000</v>
      </c>
      <c r="H17" s="113"/>
      <c r="I17" s="128" t="str">
        <f t="shared" si="1"/>
        <v>Test duration (hours)</v>
      </c>
      <c r="J17" s="139">
        <f>IF(OR('TM-21 Inputs'!I19="",I13=""),"-",'TM-21 Inputs'!I19)</f>
        <v>17000</v>
      </c>
      <c r="K17" s="112"/>
      <c r="L17" s="143" t="s">
        <v>73</v>
      </c>
      <c r="M17" s="151">
        <f>IF(OR('TM-21 Projection'!L8="",'TM-21 Projection'!L8="N/A"),"-",'TM-21 Projection'!L8)</f>
        <v>9.4371339494180349E-7</v>
      </c>
      <c r="N17" s="112"/>
      <c r="O17" s="110"/>
    </row>
    <row r="18" spans="1:15" s="116" customFormat="1" ht="36" customHeight="1" x14ac:dyDescent="0.25">
      <c r="A18" s="109"/>
      <c r="B18" s="114"/>
      <c r="C18" s="129" t="s">
        <v>66</v>
      </c>
      <c r="D18" s="134" t="str">
        <f>IF(OR('TM-21 Inputs'!I19="",C13=""),"-",IF(SUM('Calculations - Case Temp 1'!E6:E25)=0,"-",CONCATENATE(TEXT(MIN('Calculations - Case Temp 1'!E6:E25),"#,##0")," - ",TEXT(MAX('Calculations - Case Temp 1'!E6:E25),"#,##0"))))</f>
        <v>8,000 - 17,000</v>
      </c>
      <c r="E18" s="115"/>
      <c r="F18" s="129" t="str">
        <f t="shared" si="0"/>
        <v>Test duration used for projection (hour to hour)</v>
      </c>
      <c r="G18" s="140" t="str">
        <f>IF(OR('TM-21 Inputs'!I19="",F13=""),"-",IF(SUM('Calculations - Case Temp 1'!E6:E25)=0,"-",CONCATENATE(TEXT(MIN('Calculations - Case Temp 1'!E6:E25),"#,##0")," - ",TEXT(MAX('Calculations - Case Temp 1'!E6:E25),"#,##0"))))</f>
        <v>8,000 - 17,000</v>
      </c>
      <c r="H18" s="115"/>
      <c r="I18" s="129" t="str">
        <f t="shared" si="1"/>
        <v>Test duration used for projection (hour to hour)</v>
      </c>
      <c r="J18" s="140" t="str">
        <f>IF(OR('TM-21 Inputs'!I19="",I13=""),"-",IF(SUM('Calculations - Case Temp 1'!E6:E25)=0,"-",CONCATENATE(TEXT(MIN('Calculations - Case Temp 1'!E6:E25),"#,##0")," - ",TEXT(MAX('Calculations - Case Temp 1'!E6:E25),"#,##0"))))</f>
        <v>8,000 - 17,000</v>
      </c>
      <c r="K18" s="112"/>
      <c r="L18" s="146" t="s">
        <v>74</v>
      </c>
      <c r="M18" s="155">
        <f>IF(OR('TM-21 Projection'!L9="",'TM-21 Projection'!L9="N/A"),"-",'TM-21 Projection'!L9)</f>
        <v>0.99526795618765529</v>
      </c>
      <c r="N18" s="112"/>
      <c r="O18" s="110"/>
    </row>
    <row r="19" spans="1:15" s="116" customFormat="1" ht="28.5" x14ac:dyDescent="0.25">
      <c r="A19" s="109"/>
      <c r="B19" s="112"/>
      <c r="C19" s="128" t="s">
        <v>59</v>
      </c>
      <c r="D19" s="135">
        <f>IF('Product Inputs'!G6="","-",'Product Inputs'!G6)</f>
        <v>55</v>
      </c>
      <c r="E19" s="113"/>
      <c r="F19" s="128" t="str">
        <f t="shared" si="0"/>
        <v>Tested case temperature (⁰C)</v>
      </c>
      <c r="G19" s="135">
        <f>IF('Product Inputs'!J6="","-",'Product Inputs'!J6)</f>
        <v>85</v>
      </c>
      <c r="H19" s="113"/>
      <c r="I19" s="128" t="str">
        <f t="shared" si="1"/>
        <v>Tested case temperature (⁰C)</v>
      </c>
      <c r="J19" s="135">
        <f>IF('Product Inputs'!M6="","-",'Product Inputs'!M6)</f>
        <v>105</v>
      </c>
      <c r="K19" s="112"/>
      <c r="L19" s="145" t="s">
        <v>75</v>
      </c>
      <c r="M19" s="156">
        <f>IF(OR(M13&lt;0,M17&lt;0),"-",IF('TM-21 Projection'!L10="","-",'TM-21 Projection'!L10))</f>
        <v>103.00746889575666</v>
      </c>
      <c r="N19" s="112"/>
      <c r="O19" s="110"/>
    </row>
    <row r="20" spans="1:15" s="116" customFormat="1" x14ac:dyDescent="0.25">
      <c r="A20" s="109"/>
      <c r="B20" s="112"/>
      <c r="C20" s="128" t="s">
        <v>60</v>
      </c>
      <c r="D20" s="136">
        <f>IF('Product Inputs'!G8="","-",'Product Inputs'!G8)</f>
        <v>9.1922300951281085E-7</v>
      </c>
      <c r="E20" s="113"/>
      <c r="F20" s="128" t="str">
        <f t="shared" si="0"/>
        <v>α</v>
      </c>
      <c r="G20" s="136">
        <f>IF('Product Inputs'!J8="","-",'Product Inputs'!J8)</f>
        <v>9.4371339494180349E-7</v>
      </c>
      <c r="H20" s="113"/>
      <c r="I20" s="128" t="str">
        <f t="shared" si="1"/>
        <v>α</v>
      </c>
      <c r="J20" s="136">
        <f>IF('Product Inputs'!M8="","-",'Product Inputs'!M8)</f>
        <v>1.7392052351510254E-6</v>
      </c>
      <c r="K20" s="112"/>
      <c r="L20" s="142" t="s">
        <v>2</v>
      </c>
      <c r="M20" s="151">
        <f>IF(OR(M13&lt;0,M17&lt;0),"-",IF('TM-21 Projection'!L11="","-",'TM-21 Projection'!L11))</f>
        <v>1.2581936574055781E-6</v>
      </c>
      <c r="N20" s="112"/>
      <c r="O20" s="110"/>
    </row>
    <row r="21" spans="1:15" s="116" customFormat="1" ht="18.75" x14ac:dyDescent="0.25">
      <c r="A21" s="109"/>
      <c r="B21" s="112"/>
      <c r="C21" s="130" t="s">
        <v>61</v>
      </c>
      <c r="D21" s="137">
        <f>IF('Product Inputs'!G9="","-",'Product Inputs'!G9)</f>
        <v>0.99755310891785831</v>
      </c>
      <c r="E21" s="113"/>
      <c r="F21" s="130" t="str">
        <f t="shared" si="0"/>
        <v>B</v>
      </c>
      <c r="G21" s="137">
        <f>IF('Product Inputs'!J9="","-",'Product Inputs'!J9)</f>
        <v>0.99526795618765529</v>
      </c>
      <c r="H21" s="113"/>
      <c r="I21" s="130" t="str">
        <f t="shared" si="1"/>
        <v>B</v>
      </c>
      <c r="J21" s="137">
        <f>IF('Product Inputs'!M9="","-",'Product Inputs'!M9)</f>
        <v>0.99833745959000542</v>
      </c>
      <c r="K21" s="112"/>
      <c r="L21" s="146" t="s">
        <v>76</v>
      </c>
      <c r="M21" s="155">
        <f>IF('TM-21 Projection'!L12="","-",'TM-21 Projection'!L12)</f>
        <v>0.99640987746073573</v>
      </c>
      <c r="N21" s="112"/>
      <c r="O21" s="110"/>
    </row>
    <row r="22" spans="1:15" s="116" customFormat="1" ht="29.25" thickBot="1" x14ac:dyDescent="0.3">
      <c r="A22" s="109"/>
      <c r="B22" s="112"/>
      <c r="C22" s="131" t="str">
        <f>IF('TM-21 Inputs'!I35 = "", CONCATENATE("Reported LM",  IF('TM-21 Inputs'!I19="","(Dk) (hours)",CONCATENATE("(",ROUND('TM-21 Inputs'!I19/1000,0),"k) (hours)"))),CONCATENATE("Reported L",'TM-21 Inputs'!I35, IF('TM-21 Inputs'!I19="","(Dk) (hours)",CONCATENATE("(",ROUND('TM-21 Inputs'!I19/1000,0),"k) (hours)"))))</f>
        <v>Reported L80(17k) (hours)</v>
      </c>
      <c r="D22" s="138" t="str">
        <f>IF('Product Inputs'!G11="","-",'Product Inputs'!G11)</f>
        <v>&gt;102000</v>
      </c>
      <c r="E22" s="113"/>
      <c r="F22" s="131" t="str">
        <f>IF('TM-21 Inputs'!I35 = "", CONCATENATE("Reported LM",  IF('TM-21 Inputs'!I19="","(Dk) (hours)",CONCATENATE("(",ROUND('TM-21 Inputs'!I19/1000,0),"k) (hours)"))),CONCATENATE("Reported L",'TM-21 Inputs'!I35, IF('TM-21 Inputs'!I19="","(Dk) (hours)",CONCATENATE("(",ROUND('TM-21 Inputs'!I19/1000,0),"k) (hours)"))))</f>
        <v>Reported L80(17k) (hours)</v>
      </c>
      <c r="G22" s="138" t="str">
        <f>IF('Product Inputs'!J11="","-",'Product Inputs'!J11)</f>
        <v>&gt;102000</v>
      </c>
      <c r="H22" s="113"/>
      <c r="I22" s="131" t="str">
        <f>IF('TM-21 Inputs'!I35 = "", CONCATENATE("Reported LM",  IF('TM-21 Inputs'!I19="","(Dk) (hours)",CONCATENATE("(",ROUND('TM-21 Inputs'!I19/1000,0),"k) (hours)"))),CONCATENATE("Reported L",'TM-21 Inputs'!I35, IF('TM-21 Inputs'!I19="","(Dk) (hours)",CONCATENATE("(",ROUND('TM-21 Inputs'!I19/1000,0),"k) (hours)"))))</f>
        <v>Reported L80(17k) (hours)</v>
      </c>
      <c r="J22" s="138" t="str">
        <f>IF('Product Inputs'!M11="","-",'Product Inputs'!M11)</f>
        <v>&gt;102000</v>
      </c>
      <c r="K22" s="112"/>
      <c r="L22" s="141" t="s">
        <v>77</v>
      </c>
      <c r="M22" s="149">
        <f>IF('TM-21 Projection'!L13="","-",'TM-21 Projection'!L13)</f>
        <v>68.94</v>
      </c>
      <c r="N22" s="112"/>
      <c r="O22" s="110"/>
    </row>
    <row r="23" spans="1:15" s="116" customFormat="1" ht="18.75" x14ac:dyDescent="0.25">
      <c r="A23" s="109"/>
      <c r="B23" s="112"/>
      <c r="K23" s="112"/>
      <c r="L23" s="142" t="s">
        <v>78</v>
      </c>
      <c r="M23" s="157">
        <f>IF('TM-21 Projection'!L14="","-",'TM-21 Projection'!L14)</f>
        <v>342.09</v>
      </c>
      <c r="N23" s="112"/>
      <c r="O23" s="110"/>
    </row>
    <row r="24" spans="1:15" s="116" customFormat="1" ht="18.75" x14ac:dyDescent="0.25">
      <c r="A24" s="109"/>
      <c r="B24" s="112"/>
      <c r="C24" s="208"/>
      <c r="D24" s="208"/>
      <c r="E24" s="113"/>
      <c r="F24" s="208"/>
      <c r="G24" s="209"/>
      <c r="H24" s="113"/>
      <c r="I24" s="208"/>
      <c r="J24" s="209"/>
      <c r="K24" s="112"/>
      <c r="L24" s="147" t="s">
        <v>79</v>
      </c>
      <c r="M24" s="158">
        <f>IF(OR(M13&lt;0,M17&lt;0),"-",IF('TM-21 Projection'!L15="","-",'TM-21 Projection'!L15))</f>
        <v>9.3105669903966509E-7</v>
      </c>
      <c r="N24" s="112"/>
      <c r="O24" s="110"/>
    </row>
    <row r="25" spans="1:15" s="116" customFormat="1" ht="28.5" customHeight="1" thickBot="1" x14ac:dyDescent="0.3">
      <c r="A25" s="109"/>
      <c r="B25" s="112"/>
      <c r="C25" s="286" t="str">
        <f>IF(OR(M13&lt;0,M17&lt;0),"One or more of the tests resulted in negative L70 values. Please refer to sections 5.2.5 and 6.4 of IES TM-21-11 for instructions on how to estimate the reported lumen maintenance life (L70).","")</f>
        <v/>
      </c>
      <c r="D25" s="286"/>
      <c r="E25" s="286"/>
      <c r="F25" s="286"/>
      <c r="G25" s="286"/>
      <c r="H25" s="286"/>
      <c r="I25" s="286"/>
      <c r="J25" s="286"/>
      <c r="K25" s="112"/>
      <c r="L25" s="148" t="str">
        <f>IF('TM-21 Inputs'!I34="",IF('TM-21 Inputs'!I35 = "", CONCATENATE("Reported LM",  IF('TM-21 Inputs'!I19="","(Dk) (hours)",CONCATENATE("(",ROUND('TM-21 Inputs'!I19/1000,0),"k) (hours)"))),CONCATENATE("Reported L",'TM-21 Inputs'!I35, IF('TM-21 Inputs'!I19="","(Dk) (hours)",CONCATENATE("(",ROUND('TM-21 Inputs'!I19/1000,0),"k) (hours)")))), IF('TM-21 Inputs'!I35 = "", CONCATENATE("Reported LM",  IF('TM-21 Inputs'!I19="",  CONCATENATE( "(Dk) at ",   'TM-21 Inputs'!I34,"⁰C (hours)"  ),CONCATENATE("(",ROUND('TM-21 Inputs'!I19/1000,0),"k) at ", 'TM-21 Inputs'!I34,"⁰C (hours)")) ),CONCATENATE("Reported L",'TM-21 Inputs'!I35, IF('TM-21 Inputs'!I19="",CONCATENATE( "(Dk) at ",   'TM-21 Inputs'!I34,"⁰C (hours)"  ),CONCATENATE("(",ROUND('TM-21 Inputs'!I19/1000,0),"k) at ", 'TM-21 Inputs'!I34,"⁰C (hours)") )   )))</f>
        <v>Reported L80(17k) at 68.94⁰C (hours)</v>
      </c>
      <c r="M25" s="159" t="str">
        <f>IF('TM-21 Inputs'!I42="","-",'TM-21 Inputs'!I42)</f>
        <v>&gt;102000</v>
      </c>
      <c r="N25" s="112"/>
      <c r="O25" s="110"/>
    </row>
    <row r="26" spans="1:15" ht="30.75" customHeight="1" x14ac:dyDescent="0.25">
      <c r="A26" s="109"/>
      <c r="B26" s="73"/>
      <c r="C26" s="73"/>
      <c r="D26" s="73"/>
      <c r="E26" s="73"/>
      <c r="F26" s="73"/>
      <c r="G26" s="73"/>
      <c r="H26" s="73"/>
      <c r="I26" s="73"/>
      <c r="J26" s="73"/>
      <c r="K26" s="73"/>
      <c r="N26" s="73"/>
      <c r="O26" s="110"/>
    </row>
    <row r="27" spans="1:15" ht="9" customHeight="1" x14ac:dyDescent="0.25">
      <c r="A27" s="109"/>
      <c r="B27" s="73"/>
      <c r="C27" s="73"/>
      <c r="D27" s="73"/>
      <c r="E27" s="73"/>
      <c r="F27" s="73"/>
      <c r="G27" s="73"/>
      <c r="H27" s="73"/>
      <c r="I27" s="73"/>
      <c r="J27" s="73"/>
      <c r="K27" s="73"/>
      <c r="L27" s="73"/>
      <c r="M27" s="73"/>
      <c r="N27" s="73"/>
      <c r="O27" s="110"/>
    </row>
    <row r="28" spans="1:15" ht="11.25" customHeight="1" x14ac:dyDescent="0.25">
      <c r="A28" s="109"/>
      <c r="B28" s="109"/>
      <c r="C28" s="109"/>
      <c r="D28" s="109"/>
      <c r="E28" s="109"/>
      <c r="F28" s="109"/>
      <c r="G28" s="109"/>
      <c r="H28" s="109"/>
      <c r="I28" s="109"/>
      <c r="J28" s="109"/>
      <c r="K28" s="109"/>
      <c r="L28" s="109"/>
      <c r="M28" s="109"/>
      <c r="N28" s="109"/>
      <c r="O28" s="109"/>
    </row>
    <row r="29" spans="1:15" ht="15.75" thickBot="1" x14ac:dyDescent="0.3">
      <c r="C29" s="117"/>
    </row>
    <row r="30" spans="1:15" ht="30.75" customHeight="1" thickBot="1" x14ac:dyDescent="0.3">
      <c r="D30"/>
      <c r="F30" s="287" t="s">
        <v>98</v>
      </c>
      <c r="G30" s="288"/>
      <c r="H30" s="289"/>
      <c r="I30" s="290"/>
      <c r="J30" s="249" t="s">
        <v>102</v>
      </c>
      <c r="K30" s="250"/>
      <c r="L30" s="250"/>
      <c r="M30" s="251"/>
    </row>
    <row r="31" spans="1:15" ht="31.5" customHeight="1" thickBot="1" x14ac:dyDescent="0.3">
      <c r="F31" s="287" t="s">
        <v>99</v>
      </c>
      <c r="G31" s="288"/>
      <c r="H31" s="289"/>
      <c r="I31" s="290"/>
      <c r="J31" s="252"/>
      <c r="K31" s="253"/>
      <c r="L31" s="253"/>
      <c r="M31" s="254"/>
    </row>
    <row r="32" spans="1:15" ht="15.75" thickBot="1" x14ac:dyDescent="0.3">
      <c r="F32" s="291" t="s">
        <v>100</v>
      </c>
      <c r="G32" s="292"/>
      <c r="H32" s="289"/>
      <c r="I32" s="290"/>
      <c r="J32" s="255"/>
      <c r="K32" s="256"/>
      <c r="L32" s="256"/>
      <c r="M32" s="257"/>
    </row>
  </sheetData>
  <sheetProtection algorithmName="SHA-512" hashValue="2rxhJ6BUwRjJwt9KqalGi60QTXFqh39ldjzvTrk6izhLyTMX0MOD9T0GMidpJuh9TERYHpo9ClPWoMzUPbA9AA==" saltValue="JxKNxc1ryhGzecvJ0YLPfQ==" spinCount="100000" sheet="1" objects="1" scenarios="1"/>
  <mergeCells count="14">
    <mergeCell ref="J30:M32"/>
    <mergeCell ref="B2:N6"/>
    <mergeCell ref="L9:M9"/>
    <mergeCell ref="L10:M10"/>
    <mergeCell ref="C9:J9"/>
    <mergeCell ref="C13:D13"/>
    <mergeCell ref="F13:G13"/>
    <mergeCell ref="I13:J13"/>
    <mergeCell ref="C10:E12"/>
    <mergeCell ref="F10:J12"/>
    <mergeCell ref="C25:J25"/>
    <mergeCell ref="F30:I30"/>
    <mergeCell ref="F31:I31"/>
    <mergeCell ref="F32:I32"/>
  </mergeCells>
  <pageMargins left="1.2649999999999999" right="0.7" top="0.75" bottom="0.75" header="0.3" footer="0.3"/>
  <pageSetup paperSize="9" scale="61"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
  <sheetViews>
    <sheetView workbookViewId="0">
      <selection activeCell="M34" sqref="M34"/>
    </sheetView>
  </sheetViews>
  <sheetFormatPr baseColWidth="10" defaultColWidth="9.140625" defaultRowHeight="15" x14ac:dyDescent="0.25"/>
  <sheetData/>
  <sheetProtection password="C696"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C3:M34"/>
  <sheetViews>
    <sheetView topLeftCell="A7" workbookViewId="0">
      <selection activeCell="F34" sqref="F34"/>
    </sheetView>
  </sheetViews>
  <sheetFormatPr baseColWidth="10" defaultColWidth="9.140625" defaultRowHeight="15" x14ac:dyDescent="0.25"/>
  <cols>
    <col min="1" max="1" width="17" style="1" customWidth="1"/>
    <col min="2" max="2" width="9.140625" style="1"/>
    <col min="3" max="3" width="8.7109375" style="1" customWidth="1"/>
    <col min="4" max="4" width="10.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1" width="9.140625" style="1"/>
    <col min="12" max="12" width="20.5703125" style="1" bestFit="1" customWidth="1"/>
    <col min="13" max="16384" width="9.140625" style="1"/>
  </cols>
  <sheetData>
    <row r="3" spans="3:13" ht="15.75" thickBot="1" x14ac:dyDescent="0.3"/>
    <row r="4" spans="3:13" ht="15" customHeight="1" x14ac:dyDescent="0.25">
      <c r="C4" s="293" t="str">
        <f>IF('TM-21 Inputs'!I21="","Insert Case Temperature 1",CONCATENATE("Test Data for ",'TM-21 Inputs'!I21,"⁰C Case Temperature"))</f>
        <v>Test Data for 55⁰C Case Temperature</v>
      </c>
      <c r="D4" s="295"/>
      <c r="E4" s="295"/>
      <c r="F4" s="295"/>
      <c r="G4" s="295"/>
      <c r="H4" s="295"/>
      <c r="I4" s="295"/>
      <c r="J4" s="294"/>
    </row>
    <row r="5" spans="3:13" ht="60" customHeight="1" x14ac:dyDescent="0.25">
      <c r="C5" s="204" t="s">
        <v>96</v>
      </c>
      <c r="D5" s="30" t="s">
        <v>95</v>
      </c>
      <c r="E5" s="31" t="s">
        <v>3</v>
      </c>
      <c r="F5" s="32" t="s">
        <v>4</v>
      </c>
      <c r="G5" s="32" t="s">
        <v>7</v>
      </c>
      <c r="H5" s="32" t="s">
        <v>5</v>
      </c>
      <c r="I5" s="32" t="s">
        <v>6</v>
      </c>
      <c r="J5" s="33" t="s">
        <v>1</v>
      </c>
    </row>
    <row r="6" spans="3:13" x14ac:dyDescent="0.25">
      <c r="C6" s="202" t="str">
        <f>"-"</f>
        <v>-</v>
      </c>
      <c r="D6" s="202" t="str">
        <f>"-"</f>
        <v>-</v>
      </c>
      <c r="E6" s="8" t="str">
        <f>IF(OR('TM-21 Inputs'!$I$19="",'TM-21 Inputs'!$I$21=""),"-",IF(OR('TM-21 Inputs'!K10="",'TM-21 Inputs'!L10=""),"",IF(OR(AND('TM-21 Inputs'!$I$19&gt;=5952,'TM-21 Inputs'!$I$19&lt;=10000,'TM-21 Inputs'!K10&gt;='TM-21 Inputs'!$I$19-5096),AND('TM-21 Inputs'!$I$19&gt;10000,OR('TM-21 Inputs'!K10&gt;=0.5*'TM-21 Inputs'!$I$19,'TM-21 Inputs'!K10=SMALL('TM-21 Inputs'!$K$10:$K$29,COUNTIF('TM-21 Inputs'!$K$10:$K$29,"&lt;"&amp;(0.5*'TM-21 Inputs'!$I$19)+1))))),'TM-21 Inputs'!K10,"")))</f>
        <v/>
      </c>
      <c r="F6" s="2" t="str">
        <f>IF(E6="","",'TM-21 Inputs'!L10)</f>
        <v/>
      </c>
      <c r="G6" s="10" t="str">
        <f>IF(F6="","",LN(F6))</f>
        <v/>
      </c>
      <c r="H6" s="13" t="str">
        <f>IF(E6="","",(G6*E6))</f>
        <v/>
      </c>
      <c r="I6" s="16" t="str">
        <f>IF(E6="","",E6^2)</f>
        <v/>
      </c>
      <c r="J6" s="17" t="str">
        <f>IF(E6="","",E6*G6)</f>
        <v/>
      </c>
      <c r="M6" s="108"/>
    </row>
    <row r="7" spans="3:13" x14ac:dyDescent="0.25">
      <c r="C7" s="203" t="str">
        <f>"-"</f>
        <v>-</v>
      </c>
      <c r="D7" s="5" t="str">
        <f t="shared" ref="D7:D25" si="0">IF(OR(E6="",E7=""),"",E7-E6)</f>
        <v/>
      </c>
      <c r="E7" s="8" t="str">
        <f>IF(OR('TM-21 Inputs'!$I$19="",'TM-21 Inputs'!$I$21=""),"-",IF(OR('TM-21 Inputs'!K11="",'TM-21 Inputs'!L11=""),"",IF(OR(AND('TM-21 Inputs'!$I$19&gt;=5952,'TM-21 Inputs'!$I$19&lt;=10000,'TM-21 Inputs'!K11&gt;='TM-21 Inputs'!$I$19-5096),AND('TM-21 Inputs'!$I$19&gt;10000,OR('TM-21 Inputs'!K11&gt;=0.5*'TM-21 Inputs'!$I$19,'TM-21 Inputs'!K11=SMALL('TM-21 Inputs'!$K$10:$K$29,COUNTIF('TM-21 Inputs'!$K$10:$K$29,"&lt;"&amp;(0.5*'TM-21 Inputs'!$I$19)+1))))),'TM-21 Inputs'!K11,"")))</f>
        <v/>
      </c>
      <c r="F7" s="3" t="str">
        <f>IF(E7="","",'TM-21 Inputs'!L11)</f>
        <v/>
      </c>
      <c r="G7" s="11" t="str">
        <f t="shared" ref="G7:G25" si="1">IF(F7="","",LN(F7))</f>
        <v/>
      </c>
      <c r="H7" s="14" t="str">
        <f t="shared" ref="H7:H25" si="2">IF(E7="","",(G7*E7))</f>
        <v/>
      </c>
      <c r="I7" s="18" t="str">
        <f t="shared" ref="I7:I25" si="3">IF(E7="","",E7^2)</f>
        <v/>
      </c>
      <c r="J7" s="19" t="str">
        <f t="shared" ref="J7:J25" si="4">IF(E7="","",E7*G7)</f>
        <v/>
      </c>
    </row>
    <row r="8" spans="3:13" x14ac:dyDescent="0.25">
      <c r="C8" s="5" t="str">
        <f>IF(OR(D7="",D8=""),"",ABS(D8-D7))</f>
        <v/>
      </c>
      <c r="D8" s="5" t="str">
        <f t="shared" si="0"/>
        <v/>
      </c>
      <c r="E8" s="8" t="str">
        <f>IF(OR('TM-21 Inputs'!$I$19="",'TM-21 Inputs'!$I$21=""),"-",IF(OR('TM-21 Inputs'!K12="",'TM-21 Inputs'!L12=""),"",IF(OR(AND('TM-21 Inputs'!$I$19&gt;=5952,'TM-21 Inputs'!$I$19&lt;=10000,'TM-21 Inputs'!K12&gt;='TM-21 Inputs'!$I$19-5096),AND('TM-21 Inputs'!$I$19&gt;10000,OR('TM-21 Inputs'!K12&gt;=0.5*'TM-21 Inputs'!$I$19,'TM-21 Inputs'!K12=SMALL('TM-21 Inputs'!$K$10:$K$29,COUNTIF('TM-21 Inputs'!$K$10:$K$29,"&lt;"&amp;(0.5*'TM-21 Inputs'!$I$19)+1))))),'TM-21 Inputs'!K12,"")))</f>
        <v/>
      </c>
      <c r="F8" s="3" t="str">
        <f>IF(E8="","",'TM-21 Inputs'!L12)</f>
        <v/>
      </c>
      <c r="G8" s="11" t="str">
        <f t="shared" si="1"/>
        <v/>
      </c>
      <c r="H8" s="14" t="str">
        <f t="shared" si="2"/>
        <v/>
      </c>
      <c r="I8" s="18" t="str">
        <f t="shared" si="3"/>
        <v/>
      </c>
      <c r="J8" s="19" t="str">
        <f t="shared" si="4"/>
        <v/>
      </c>
    </row>
    <row r="9" spans="3:13" x14ac:dyDescent="0.25">
      <c r="C9" s="5" t="str">
        <f t="shared" ref="C9:C25" si="5">IF(OR(D8="",D9=""),"",ABS(D9-D8))</f>
        <v/>
      </c>
      <c r="D9" s="5" t="str">
        <f t="shared" si="0"/>
        <v/>
      </c>
      <c r="E9" s="8" t="str">
        <f>IF(OR('TM-21 Inputs'!$I$19="",'TM-21 Inputs'!$I$21=""),"-",IF(OR('TM-21 Inputs'!K13="",'TM-21 Inputs'!L13=""),"",IF(OR(AND('TM-21 Inputs'!$I$19&gt;=5952,'TM-21 Inputs'!$I$19&lt;=10000,'TM-21 Inputs'!K13&gt;='TM-21 Inputs'!$I$19-5096),AND('TM-21 Inputs'!$I$19&gt;10000,OR('TM-21 Inputs'!K13&gt;=0.5*'TM-21 Inputs'!$I$19,'TM-21 Inputs'!K13=SMALL('TM-21 Inputs'!$K$10:$K$29,COUNTIF('TM-21 Inputs'!$K$10:$K$29,"&lt;"&amp;(0.5*'TM-21 Inputs'!$I$19)+1))))),'TM-21 Inputs'!K13,"")))</f>
        <v/>
      </c>
      <c r="F9" s="3" t="str">
        <f>IF(E9="","",'TM-21 Inputs'!L13)</f>
        <v/>
      </c>
      <c r="G9" s="11" t="str">
        <f t="shared" si="1"/>
        <v/>
      </c>
      <c r="H9" s="14" t="str">
        <f t="shared" si="2"/>
        <v/>
      </c>
      <c r="I9" s="18" t="str">
        <f t="shared" si="3"/>
        <v/>
      </c>
      <c r="J9" s="19" t="str">
        <f t="shared" si="4"/>
        <v/>
      </c>
    </row>
    <row r="10" spans="3:13" x14ac:dyDescent="0.25">
      <c r="C10" s="5" t="str">
        <f t="shared" si="5"/>
        <v/>
      </c>
      <c r="D10" s="5" t="str">
        <f t="shared" si="0"/>
        <v/>
      </c>
      <c r="E10" s="8" t="str">
        <f>IF(OR('TM-21 Inputs'!$I$19="",'TM-21 Inputs'!$I$21=""),"-",IF(OR('TM-21 Inputs'!K14="",'TM-21 Inputs'!L14=""),"",IF(OR(AND('TM-21 Inputs'!$I$19&gt;=5952,'TM-21 Inputs'!$I$19&lt;=10000,'TM-21 Inputs'!K14&gt;='TM-21 Inputs'!$I$19-5096),AND('TM-21 Inputs'!$I$19&gt;10000,OR('TM-21 Inputs'!K14&gt;=0.5*'TM-21 Inputs'!$I$19,'TM-21 Inputs'!K14=SMALL('TM-21 Inputs'!$K$10:$K$29,COUNTIF('TM-21 Inputs'!$K$10:$K$29,"&lt;"&amp;(0.5*'TM-21 Inputs'!$I$19)+1))))),'TM-21 Inputs'!K14,"")))</f>
        <v/>
      </c>
      <c r="F10" s="3" t="str">
        <f>IF(E10="","",'TM-21 Inputs'!L14)</f>
        <v/>
      </c>
      <c r="G10" s="11" t="str">
        <f t="shared" si="1"/>
        <v/>
      </c>
      <c r="H10" s="14" t="str">
        <f t="shared" si="2"/>
        <v/>
      </c>
      <c r="I10" s="18" t="str">
        <f t="shared" si="3"/>
        <v/>
      </c>
      <c r="J10" s="19" t="str">
        <f t="shared" si="4"/>
        <v/>
      </c>
    </row>
    <row r="11" spans="3:13" x14ac:dyDescent="0.25">
      <c r="C11" s="5" t="str">
        <f t="shared" si="5"/>
        <v/>
      </c>
      <c r="D11" s="5" t="str">
        <f t="shared" si="0"/>
        <v/>
      </c>
      <c r="E11" s="8" t="str">
        <f>IF(OR('TM-21 Inputs'!$I$19="",'TM-21 Inputs'!$I$21=""),"-",IF(OR('TM-21 Inputs'!K15="",'TM-21 Inputs'!L15=""),"",IF(OR(AND('TM-21 Inputs'!$I$19&gt;=5952,'TM-21 Inputs'!$I$19&lt;=10000,'TM-21 Inputs'!K15&gt;='TM-21 Inputs'!$I$19-5096),AND('TM-21 Inputs'!$I$19&gt;10000,OR('TM-21 Inputs'!K15&gt;=0.5*'TM-21 Inputs'!$I$19,'TM-21 Inputs'!K15=SMALL('TM-21 Inputs'!$K$10:$K$29,COUNTIF('TM-21 Inputs'!$K$10:$K$29,"&lt;"&amp;(0.5*'TM-21 Inputs'!$I$19)+1))))),'TM-21 Inputs'!K15,"")))</f>
        <v/>
      </c>
      <c r="F11" s="3" t="str">
        <f>IF(E11="","",'TM-21 Inputs'!L15)</f>
        <v/>
      </c>
      <c r="G11" s="11" t="str">
        <f t="shared" si="1"/>
        <v/>
      </c>
      <c r="H11" s="14" t="str">
        <f t="shared" si="2"/>
        <v/>
      </c>
      <c r="I11" s="18" t="str">
        <f t="shared" si="3"/>
        <v/>
      </c>
      <c r="J11" s="19" t="str">
        <f t="shared" si="4"/>
        <v/>
      </c>
    </row>
    <row r="12" spans="3:13" x14ac:dyDescent="0.25">
      <c r="C12" s="5" t="str">
        <f t="shared" si="5"/>
        <v/>
      </c>
      <c r="D12" s="5" t="str">
        <f t="shared" si="0"/>
        <v/>
      </c>
      <c r="E12" s="8" t="str">
        <f>IF(OR('TM-21 Inputs'!$I$19="",'TM-21 Inputs'!$I$21=""),"-",IF(OR('TM-21 Inputs'!K16="",'TM-21 Inputs'!L16=""),"",IF(OR(AND('TM-21 Inputs'!$I$19&gt;=5952,'TM-21 Inputs'!$I$19&lt;=10000,'TM-21 Inputs'!K16&gt;='TM-21 Inputs'!$I$19-5096),AND('TM-21 Inputs'!$I$19&gt;10000,OR('TM-21 Inputs'!K16&gt;=0.5*'TM-21 Inputs'!$I$19,'TM-21 Inputs'!K16=SMALL('TM-21 Inputs'!$K$10:$K$29,COUNTIF('TM-21 Inputs'!$K$10:$K$29,"&lt;"&amp;(0.5*'TM-21 Inputs'!$I$19)+1))))),'TM-21 Inputs'!K16,"")))</f>
        <v/>
      </c>
      <c r="F12" s="3" t="str">
        <f>IF(E12="","",'TM-21 Inputs'!L16)</f>
        <v/>
      </c>
      <c r="G12" s="11" t="str">
        <f t="shared" si="1"/>
        <v/>
      </c>
      <c r="H12" s="14" t="str">
        <f t="shared" si="2"/>
        <v/>
      </c>
      <c r="I12" s="18" t="str">
        <f t="shared" si="3"/>
        <v/>
      </c>
      <c r="J12" s="19" t="str">
        <f t="shared" si="4"/>
        <v/>
      </c>
    </row>
    <row r="13" spans="3:13" x14ac:dyDescent="0.25">
      <c r="C13" s="5" t="str">
        <f t="shared" si="5"/>
        <v/>
      </c>
      <c r="D13" s="5" t="str">
        <f t="shared" si="0"/>
        <v/>
      </c>
      <c r="E13" s="8">
        <f>IF(OR('TM-21 Inputs'!$I$19="",'TM-21 Inputs'!$I$21=""),"-",IF(OR('TM-21 Inputs'!K17="",'TM-21 Inputs'!L17=""),"",IF(OR(AND('TM-21 Inputs'!$I$19&gt;=5952,'TM-21 Inputs'!$I$19&lt;=10000,'TM-21 Inputs'!K17&gt;='TM-21 Inputs'!$I$19-5096),AND('TM-21 Inputs'!$I$19&gt;10000,OR('TM-21 Inputs'!K17&gt;=0.5*'TM-21 Inputs'!$I$19,'TM-21 Inputs'!K17=SMALL('TM-21 Inputs'!$K$10:$K$29,COUNTIF('TM-21 Inputs'!$K$10:$K$29,"&lt;"&amp;(0.5*'TM-21 Inputs'!$I$19)+1))))),'TM-21 Inputs'!K17,"")))</f>
        <v>8000</v>
      </c>
      <c r="F13" s="3">
        <f>IF(E13="","",'TM-21 Inputs'!L17)</f>
        <v>0.99060000000000004</v>
      </c>
      <c r="G13" s="11">
        <f t="shared" si="1"/>
        <v>-9.444458827999689E-3</v>
      </c>
      <c r="H13" s="14">
        <f t="shared" si="2"/>
        <v>-75.555670623997514</v>
      </c>
      <c r="I13" s="18">
        <f t="shared" si="3"/>
        <v>64000000</v>
      </c>
      <c r="J13" s="19">
        <f t="shared" si="4"/>
        <v>-75.555670623997514</v>
      </c>
    </row>
    <row r="14" spans="3:13" x14ac:dyDescent="0.25">
      <c r="C14" s="5" t="str">
        <f t="shared" si="5"/>
        <v/>
      </c>
      <c r="D14" s="5">
        <f t="shared" si="0"/>
        <v>1000</v>
      </c>
      <c r="E14" s="8">
        <f>IF(OR('TM-21 Inputs'!$I$19="",'TM-21 Inputs'!$I$21=""),"-",IF(OR('TM-21 Inputs'!K18="",'TM-21 Inputs'!L18=""),"",IF(OR(AND('TM-21 Inputs'!$I$19&gt;=5952,'TM-21 Inputs'!$I$19&lt;=10000,'TM-21 Inputs'!K18&gt;='TM-21 Inputs'!$I$19-5096),AND('TM-21 Inputs'!$I$19&gt;10000,OR('TM-21 Inputs'!K18&gt;=0.5*'TM-21 Inputs'!$I$19,'TM-21 Inputs'!K18=SMALL('TM-21 Inputs'!$K$10:$K$29,COUNTIF('TM-21 Inputs'!$K$10:$K$29,"&lt;"&amp;(0.5*'TM-21 Inputs'!$I$19)+1))))),'TM-21 Inputs'!K18,"")))</f>
        <v>9000</v>
      </c>
      <c r="F14" s="3">
        <f>IF(E14="","",'TM-21 Inputs'!L18)</f>
        <v>0.98939999999999995</v>
      </c>
      <c r="G14" s="11">
        <f t="shared" si="1"/>
        <v>-1.0656580188528888E-2</v>
      </c>
      <c r="H14" s="14">
        <f t="shared" si="2"/>
        <v>-95.909221696759985</v>
      </c>
      <c r="I14" s="18">
        <f t="shared" si="3"/>
        <v>81000000</v>
      </c>
      <c r="J14" s="19">
        <f t="shared" si="4"/>
        <v>-95.909221696759985</v>
      </c>
    </row>
    <row r="15" spans="3:13" x14ac:dyDescent="0.25">
      <c r="C15" s="5">
        <f t="shared" si="5"/>
        <v>0</v>
      </c>
      <c r="D15" s="5">
        <f t="shared" si="0"/>
        <v>1000</v>
      </c>
      <c r="E15" s="8">
        <f>IF(OR('TM-21 Inputs'!$I$19="",'TM-21 Inputs'!$I$21=""),"-",IF(OR('TM-21 Inputs'!K19="",'TM-21 Inputs'!L19=""),"",IF(OR(AND('TM-21 Inputs'!$I$19&gt;=5952,'TM-21 Inputs'!$I$19&lt;=10000,'TM-21 Inputs'!K19&gt;='TM-21 Inputs'!$I$19-5096),AND('TM-21 Inputs'!$I$19&gt;10000,OR('TM-21 Inputs'!K19&gt;=0.5*'TM-21 Inputs'!$I$19,'TM-21 Inputs'!K19=SMALL('TM-21 Inputs'!$K$10:$K$29,COUNTIF('TM-21 Inputs'!$K$10:$K$29,"&lt;"&amp;(0.5*'TM-21 Inputs'!$I$19)+1))))),'TM-21 Inputs'!K19,"")))</f>
        <v>10000</v>
      </c>
      <c r="F15" s="3">
        <f>IF(E15="","",'TM-21 Inputs'!L19)</f>
        <v>0.98829999999999996</v>
      </c>
      <c r="G15" s="11">
        <f t="shared" si="1"/>
        <v>-1.1768983599998889E-2</v>
      </c>
      <c r="H15" s="14">
        <f t="shared" si="2"/>
        <v>-117.68983599998889</v>
      </c>
      <c r="I15" s="18">
        <f t="shared" si="3"/>
        <v>100000000</v>
      </c>
      <c r="J15" s="19">
        <f t="shared" si="4"/>
        <v>-117.68983599998889</v>
      </c>
    </row>
    <row r="16" spans="3:13" x14ac:dyDescent="0.25">
      <c r="C16" s="5">
        <f t="shared" si="5"/>
        <v>0</v>
      </c>
      <c r="D16" s="5">
        <f t="shared" si="0"/>
        <v>1000</v>
      </c>
      <c r="E16" s="8">
        <f>IF(OR('TM-21 Inputs'!$I$19="",'TM-21 Inputs'!$I$21=""),"-",IF(OR('TM-21 Inputs'!K20="",'TM-21 Inputs'!L20=""),"",IF(OR(AND('TM-21 Inputs'!$I$19&gt;=5952,'TM-21 Inputs'!$I$19&lt;=10000,'TM-21 Inputs'!K20&gt;='TM-21 Inputs'!$I$19-5096),AND('TM-21 Inputs'!$I$19&gt;10000,OR('TM-21 Inputs'!K20&gt;=0.5*'TM-21 Inputs'!$I$19,'TM-21 Inputs'!K20=SMALL('TM-21 Inputs'!$K$10:$K$29,COUNTIF('TM-21 Inputs'!$K$10:$K$29,"&lt;"&amp;(0.5*'TM-21 Inputs'!$I$19)+1))))),'TM-21 Inputs'!K20,"")))</f>
        <v>11000</v>
      </c>
      <c r="F16" s="3">
        <f>IF(E16="","",'TM-21 Inputs'!L20)</f>
        <v>0.98750000000000004</v>
      </c>
      <c r="G16" s="11">
        <f t="shared" si="1"/>
        <v>-1.2578782206860073E-2</v>
      </c>
      <c r="H16" s="14">
        <f t="shared" si="2"/>
        <v>-138.36660427546079</v>
      </c>
      <c r="I16" s="18">
        <f t="shared" si="3"/>
        <v>121000000</v>
      </c>
      <c r="J16" s="19">
        <f t="shared" si="4"/>
        <v>-138.36660427546079</v>
      </c>
    </row>
    <row r="17" spans="3:10" x14ac:dyDescent="0.25">
      <c r="C17" s="5">
        <f t="shared" si="5"/>
        <v>0</v>
      </c>
      <c r="D17" s="5">
        <f t="shared" si="0"/>
        <v>1000</v>
      </c>
      <c r="E17" s="8">
        <f>IF(OR('TM-21 Inputs'!$I$19="",'TM-21 Inputs'!$I$21=""),"-",IF(OR('TM-21 Inputs'!K21="",'TM-21 Inputs'!L21=""),"",IF(OR(AND('TM-21 Inputs'!$I$19&gt;=5952,'TM-21 Inputs'!$I$19&lt;=10000,'TM-21 Inputs'!K21&gt;='TM-21 Inputs'!$I$19-5096),AND('TM-21 Inputs'!$I$19&gt;10000,OR('TM-21 Inputs'!K21&gt;=0.5*'TM-21 Inputs'!$I$19,'TM-21 Inputs'!K21=SMALL('TM-21 Inputs'!$K$10:$K$29,COUNTIF('TM-21 Inputs'!$K$10:$K$29,"&lt;"&amp;(0.5*'TM-21 Inputs'!$I$19)+1))))),'TM-21 Inputs'!K21,"")))</f>
        <v>12000</v>
      </c>
      <c r="F17" s="3">
        <f>IF(E17="","",'TM-21 Inputs'!L21)</f>
        <v>0.98640000000000005</v>
      </c>
      <c r="G17" s="11">
        <f t="shared" si="1"/>
        <v>-1.3693327132002454E-2</v>
      </c>
      <c r="H17" s="14">
        <f t="shared" si="2"/>
        <v>-164.31992558402945</v>
      </c>
      <c r="I17" s="18">
        <f t="shared" si="3"/>
        <v>144000000</v>
      </c>
      <c r="J17" s="19">
        <f t="shared" si="4"/>
        <v>-164.31992558402945</v>
      </c>
    </row>
    <row r="18" spans="3:10" x14ac:dyDescent="0.25">
      <c r="C18" s="5">
        <f t="shared" si="5"/>
        <v>0</v>
      </c>
      <c r="D18" s="5">
        <f t="shared" si="0"/>
        <v>1000</v>
      </c>
      <c r="E18" s="8">
        <f>IF(OR('TM-21 Inputs'!$I$19="",'TM-21 Inputs'!$I$21=""),"-",IF(OR('TM-21 Inputs'!K22="",'TM-21 Inputs'!L22=""),"",IF(OR(AND('TM-21 Inputs'!$I$19&gt;=5952,'TM-21 Inputs'!$I$19&lt;=10000,'TM-21 Inputs'!K22&gt;='TM-21 Inputs'!$I$19-5096),AND('TM-21 Inputs'!$I$19&gt;10000,OR('TM-21 Inputs'!K22&gt;=0.5*'TM-21 Inputs'!$I$19,'TM-21 Inputs'!K22=SMALL('TM-21 Inputs'!$K$10:$K$29,COUNTIF('TM-21 Inputs'!$K$10:$K$29,"&lt;"&amp;(0.5*'TM-21 Inputs'!$I$19)+1))))),'TM-21 Inputs'!K22,"")))</f>
        <v>13000</v>
      </c>
      <c r="F18" s="3">
        <f>IF(E18="","",'TM-21 Inputs'!L22)</f>
        <v>0.98550000000000004</v>
      </c>
      <c r="G18" s="11">
        <f t="shared" si="1"/>
        <v>-1.4606152389362114E-2</v>
      </c>
      <c r="H18" s="14">
        <f t="shared" si="2"/>
        <v>-189.8799810617075</v>
      </c>
      <c r="I18" s="18">
        <f t="shared" si="3"/>
        <v>169000000</v>
      </c>
      <c r="J18" s="19">
        <f t="shared" si="4"/>
        <v>-189.8799810617075</v>
      </c>
    </row>
    <row r="19" spans="3:10" x14ac:dyDescent="0.25">
      <c r="C19" s="5">
        <f t="shared" si="5"/>
        <v>0</v>
      </c>
      <c r="D19" s="5">
        <f t="shared" si="0"/>
        <v>1000</v>
      </c>
      <c r="E19" s="8">
        <f>IF(OR('TM-21 Inputs'!$I$19="",'TM-21 Inputs'!$I$21=""),"-",IF(OR('TM-21 Inputs'!K23="",'TM-21 Inputs'!L23=""),"",IF(OR(AND('TM-21 Inputs'!$I$19&gt;=5952,'TM-21 Inputs'!$I$19&lt;=10000,'TM-21 Inputs'!K23&gt;='TM-21 Inputs'!$I$19-5096),AND('TM-21 Inputs'!$I$19&gt;10000,OR('TM-21 Inputs'!K23&gt;=0.5*'TM-21 Inputs'!$I$19,'TM-21 Inputs'!K23=SMALL('TM-21 Inputs'!$K$10:$K$29,COUNTIF('TM-21 Inputs'!$K$10:$K$29,"&lt;"&amp;(0.5*'TM-21 Inputs'!$I$19)+1))))),'TM-21 Inputs'!K23,"")))</f>
        <v>14000</v>
      </c>
      <c r="F19" s="3">
        <f>IF(E19="","",'TM-21 Inputs'!L23)</f>
        <v>0.98460000000000003</v>
      </c>
      <c r="G19" s="11">
        <f t="shared" si="1"/>
        <v>-1.5519811658036807E-2</v>
      </c>
      <c r="H19" s="14">
        <f t="shared" si="2"/>
        <v>-217.2773632125153</v>
      </c>
      <c r="I19" s="18">
        <f t="shared" si="3"/>
        <v>196000000</v>
      </c>
      <c r="J19" s="19">
        <f t="shared" si="4"/>
        <v>-217.2773632125153</v>
      </c>
    </row>
    <row r="20" spans="3:10" x14ac:dyDescent="0.25">
      <c r="C20" s="5">
        <f t="shared" si="5"/>
        <v>0</v>
      </c>
      <c r="D20" s="5">
        <f t="shared" si="0"/>
        <v>1000</v>
      </c>
      <c r="E20" s="8">
        <f>IF(OR('TM-21 Inputs'!$I$19="",'TM-21 Inputs'!$I$21=""),"-",IF(OR('TM-21 Inputs'!K24="",'TM-21 Inputs'!L24=""),"",IF(OR(AND('TM-21 Inputs'!$I$19&gt;=5952,'TM-21 Inputs'!$I$19&lt;=10000,'TM-21 Inputs'!K24&gt;='TM-21 Inputs'!$I$19-5096),AND('TM-21 Inputs'!$I$19&gt;10000,OR('TM-21 Inputs'!K24&gt;=0.5*'TM-21 Inputs'!$I$19,'TM-21 Inputs'!K24=SMALL('TM-21 Inputs'!$K$10:$K$29,COUNTIF('TM-21 Inputs'!$K$10:$K$29,"&lt;"&amp;(0.5*'TM-21 Inputs'!$I$19)+1))))),'TM-21 Inputs'!K24,"")))</f>
        <v>15000</v>
      </c>
      <c r="F20" s="3">
        <f>IF(E20="","",'TM-21 Inputs'!L24)</f>
        <v>0.98370000000000002</v>
      </c>
      <c r="G20" s="11">
        <f t="shared" si="1"/>
        <v>-1.6434306463424773E-2</v>
      </c>
      <c r="H20" s="14">
        <f t="shared" si="2"/>
        <v>-246.5145969513716</v>
      </c>
      <c r="I20" s="18">
        <f t="shared" si="3"/>
        <v>225000000</v>
      </c>
      <c r="J20" s="19">
        <f t="shared" si="4"/>
        <v>-246.5145969513716</v>
      </c>
    </row>
    <row r="21" spans="3:10" x14ac:dyDescent="0.25">
      <c r="C21" s="5">
        <f t="shared" si="5"/>
        <v>0</v>
      </c>
      <c r="D21" s="5">
        <f t="shared" si="0"/>
        <v>1000</v>
      </c>
      <c r="E21" s="8">
        <f>IF(OR('TM-21 Inputs'!$I$19="",'TM-21 Inputs'!$I$21=""),"-",IF(OR('TM-21 Inputs'!K25="",'TM-21 Inputs'!L25=""),"",IF(OR(AND('TM-21 Inputs'!$I$19&gt;=5952,'TM-21 Inputs'!$I$19&lt;=10000,'TM-21 Inputs'!K25&gt;='TM-21 Inputs'!$I$19-5096),AND('TM-21 Inputs'!$I$19&gt;10000,OR('TM-21 Inputs'!K25&gt;=0.5*'TM-21 Inputs'!$I$19,'TM-21 Inputs'!K25=SMALL('TM-21 Inputs'!$K$10:$K$29,COUNTIF('TM-21 Inputs'!$K$10:$K$29,"&lt;"&amp;(0.5*'TM-21 Inputs'!$I$19)+1))))),'TM-21 Inputs'!K25,"")))</f>
        <v>16000</v>
      </c>
      <c r="F21" s="3">
        <f>IF(E21="","",'TM-21 Inputs'!L25)</f>
        <v>0.98309999999999997</v>
      </c>
      <c r="G21" s="11">
        <f t="shared" si="1"/>
        <v>-1.7044434609258474E-2</v>
      </c>
      <c r="H21" s="14">
        <f t="shared" si="2"/>
        <v>-272.71095374813558</v>
      </c>
      <c r="I21" s="18">
        <f t="shared" si="3"/>
        <v>256000000</v>
      </c>
      <c r="J21" s="19">
        <f t="shared" si="4"/>
        <v>-272.71095374813558</v>
      </c>
    </row>
    <row r="22" spans="3:10" x14ac:dyDescent="0.25">
      <c r="C22" s="5">
        <f t="shared" si="5"/>
        <v>0</v>
      </c>
      <c r="D22" s="5">
        <f t="shared" si="0"/>
        <v>1000</v>
      </c>
      <c r="E22" s="8">
        <f>IF(OR('TM-21 Inputs'!$I$19="",'TM-21 Inputs'!$I$21=""),"-",IF(OR('TM-21 Inputs'!K26="",'TM-21 Inputs'!L26=""),"",IF(OR(AND('TM-21 Inputs'!$I$19&gt;=5952,'TM-21 Inputs'!$I$19&lt;=10000,'TM-21 Inputs'!K26&gt;='TM-21 Inputs'!$I$19-5096),AND('TM-21 Inputs'!$I$19&gt;10000,OR('TM-21 Inputs'!K26&gt;=0.5*'TM-21 Inputs'!$I$19,'TM-21 Inputs'!K26=SMALL('TM-21 Inputs'!$K$10:$K$29,COUNTIF('TM-21 Inputs'!$K$10:$K$29,"&lt;"&amp;(0.5*'TM-21 Inputs'!$I$19)+1))))),'TM-21 Inputs'!K26,"")))</f>
        <v>17000</v>
      </c>
      <c r="F22" s="3">
        <f>IF(E22="","",'TM-21 Inputs'!L26)</f>
        <v>0.98250000000000004</v>
      </c>
      <c r="G22" s="11">
        <f t="shared" si="1"/>
        <v>-1.765493523872071E-2</v>
      </c>
      <c r="H22" s="14">
        <f t="shared" si="2"/>
        <v>-300.13389905825204</v>
      </c>
      <c r="I22" s="18">
        <f t="shared" si="3"/>
        <v>289000000</v>
      </c>
      <c r="J22" s="19">
        <f t="shared" si="4"/>
        <v>-300.13389905825204</v>
      </c>
    </row>
    <row r="23" spans="3:10" x14ac:dyDescent="0.25">
      <c r="C23" s="5" t="str">
        <f t="shared" si="5"/>
        <v/>
      </c>
      <c r="D23" s="5" t="str">
        <f t="shared" si="0"/>
        <v/>
      </c>
      <c r="E23" s="8" t="str">
        <f>IF(OR('TM-21 Inputs'!$I$19="",'TM-21 Inputs'!$I$21=""),"-",IF(OR('TM-21 Inputs'!K27="",'TM-21 Inputs'!L27=""),"",IF(OR(AND('TM-21 Inputs'!$I$19&gt;=5952,'TM-21 Inputs'!$I$19&lt;=10000,'TM-21 Inputs'!K27&gt;='TM-21 Inputs'!$I$19-5096),AND('TM-21 Inputs'!$I$19&gt;10000,OR('TM-21 Inputs'!K27&gt;=0.5*'TM-21 Inputs'!$I$19,'TM-21 Inputs'!K27=SMALL('TM-21 Inputs'!$K$10:$K$29,COUNTIF('TM-21 Inputs'!$K$10:$K$29,"&lt;"&amp;(0.5*'TM-21 Inputs'!$I$19)+1))))),'TM-21 Inputs'!K27,"")))</f>
        <v/>
      </c>
      <c r="F23" s="3" t="str">
        <f>IF(E23="","",'TM-21 Inputs'!L27)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Inputs'!K28="",'TM-21 Inputs'!L28=""),"",IF(OR(AND('TM-21 Inputs'!$I$19&gt;=5952,'TM-21 Inputs'!$I$19&lt;=10000,'TM-21 Inputs'!K28&gt;='TM-21 Inputs'!$I$19-5096),AND('TM-21 Inputs'!$I$19&gt;10000,OR('TM-21 Inputs'!K28&gt;=0.5*'TM-21 Inputs'!$I$19,'TM-21 Inputs'!K28=SMALL('TM-21 Inputs'!$K$10:$K$29,COUNTIF('TM-21 Inputs'!$K$10:$K$29,"&lt;"&amp;(0.5*'TM-21 Inputs'!$I$19)+1))))),'TM-21 Inputs'!K28,"")))</f>
        <v/>
      </c>
      <c r="F24" s="3" t="str">
        <f>IF(E24="","",'TM-21 Inputs'!L28)</f>
        <v/>
      </c>
      <c r="G24" s="11" t="str">
        <f t="shared" si="1"/>
        <v/>
      </c>
      <c r="H24" s="14" t="str">
        <f t="shared" si="2"/>
        <v/>
      </c>
      <c r="I24" s="18" t="str">
        <f t="shared" si="3"/>
        <v/>
      </c>
      <c r="J24" s="19" t="str">
        <f t="shared" si="4"/>
        <v/>
      </c>
    </row>
    <row r="25" spans="3:10" x14ac:dyDescent="0.25">
      <c r="C25" s="6" t="str">
        <f t="shared" si="5"/>
        <v/>
      </c>
      <c r="D25" s="6" t="str">
        <f t="shared" si="0"/>
        <v/>
      </c>
      <c r="E25" s="8" t="str">
        <f>IF(OR('TM-21 Inputs'!$I$19="",'TM-21 Inputs'!$I$21=""),"-",IF(OR('TM-21 Inputs'!K29="",'TM-21 Inputs'!L29=""),"",IF(OR(AND('TM-21 Inputs'!$I$19&gt;=5952,'TM-21 Inputs'!$I$19&lt;=10000,'TM-21 Inputs'!K29&gt;='TM-21 Inputs'!$I$19-5096),AND('TM-21 Inputs'!$I$19&gt;10000,OR('TM-21 Inputs'!K29&gt;=0.5*'TM-21 Inputs'!$I$19,'TM-21 Inputs'!K29=SMALL('TM-21 Inputs'!$K$10:$K$29,COUNTIF('TM-21 Inputs'!$K$10:$K$29,"&lt;"&amp;(0.5*'TM-21 Inputs'!$I$19)+1))))),'TM-21 Inputs'!K29,"")))</f>
        <v/>
      </c>
      <c r="F25" s="4" t="str">
        <f>IF(E25="","",'TM-21 Inputs'!L29)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SUM(F6:F25)</f>
        <v>9.8615999999999993</v>
      </c>
      <c r="G26" s="25">
        <f t="shared" si="6"/>
        <v>-0.1394017723141929</v>
      </c>
      <c r="H26" s="26">
        <f t="shared" si="6"/>
        <v>-1818.3580522122184</v>
      </c>
      <c r="I26" s="27">
        <f t="shared" si="6"/>
        <v>1645000000</v>
      </c>
      <c r="J26" s="28">
        <f t="shared" si="6"/>
        <v>-1818.3580522122184</v>
      </c>
    </row>
    <row r="27" spans="3:10" ht="15.75" thickBot="1" x14ac:dyDescent="0.3"/>
    <row r="28" spans="3:10" ht="15.75" x14ac:dyDescent="0.25">
      <c r="E28" s="293" t="s">
        <v>9</v>
      </c>
      <c r="F28" s="294"/>
    </row>
    <row r="29" spans="3:10" x14ac:dyDescent="0.25">
      <c r="E29" s="34" t="s">
        <v>15</v>
      </c>
      <c r="F29" s="35">
        <f>((COUNTIF(E6:E25,"&gt;"&amp;0)*H26-(E26*G26))/((COUNTIF(E6:E25,"&gt;"&amp;0)*I26)-(E26^2)))</f>
        <v>-9.1922300951281085E-7</v>
      </c>
    </row>
    <row r="30" spans="3:10" x14ac:dyDescent="0.25">
      <c r="E30" s="36" t="s">
        <v>16</v>
      </c>
      <c r="F30" s="37">
        <f>(G26-(F29*E26))/COUNTIF(E6:E25,"&gt;"&amp;0)</f>
        <v>-2.4498896125091539E-3</v>
      </c>
    </row>
    <row r="31" spans="3:10" x14ac:dyDescent="0.25">
      <c r="E31" s="38" t="s">
        <v>17</v>
      </c>
      <c r="F31" s="37">
        <f>-F29</f>
        <v>9.1922300951281085E-7</v>
      </c>
    </row>
    <row r="32" spans="3:10" x14ac:dyDescent="0.25">
      <c r="E32" s="36" t="s">
        <v>18</v>
      </c>
      <c r="F32" s="37">
        <f>EXP(F30)</f>
        <v>0.99755310891785831</v>
      </c>
    </row>
    <row r="33" spans="5:6" ht="30" customHeight="1" x14ac:dyDescent="0.25">
      <c r="E33" s="39" t="str">
        <f>CONCATENATE("Calculated L",'TM-21 Inputs'!I35," (hrs):")</f>
        <v>Calculated L80 (hrs):</v>
      </c>
      <c r="F33" s="40">
        <f>ROUND((LN(F32/('TM-21 Inputs'!$I$35/100))/F31),-3)</f>
        <v>240000</v>
      </c>
    </row>
    <row r="34" spans="5:6" ht="30.75" thickBot="1" x14ac:dyDescent="0.3">
      <c r="E34" s="41" t="str">
        <f>CONCATENATE("Reported L",'TM-21 Inputs'!I35," (hrs):")</f>
        <v>Reported L80 (hrs):</v>
      </c>
      <c r="F34" s="29" t="str">
        <f>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000"/>
  </sheetPr>
  <dimension ref="C3:J34"/>
  <sheetViews>
    <sheetView workbookViewId="0">
      <selection activeCell="J32" sqref="J32"/>
    </sheetView>
  </sheetViews>
  <sheetFormatPr baseColWidth="10" defaultColWidth="9.140625" defaultRowHeight="15" x14ac:dyDescent="0.25"/>
  <cols>
    <col min="1" max="1" width="17" style="1" customWidth="1"/>
    <col min="2" max="2" width="9.140625" style="1"/>
    <col min="3" max="3" width="9.28515625" style="1" customWidth="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3" t="str">
        <f>IF('TM-21 Inputs'!I22="","Insert Case Temperature 2",CONCATENATE("Test Data for ",'TM-21 Inputs'!I22,"⁰C Case Temperature"))</f>
        <v>Test Data for 85⁰C Case Temperature</v>
      </c>
      <c r="D4" s="295"/>
      <c r="E4" s="295"/>
      <c r="F4" s="295"/>
      <c r="G4" s="295"/>
      <c r="H4" s="295"/>
      <c r="I4" s="295"/>
      <c r="J4" s="294"/>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210" t="str">
        <f>IF(OR('TM-21 Inputs'!$I$19="",'TM-21 Inputs'!$I$21=""),"-",IF(OR('TM-21 Inputs'!N10="",'TM-21 Inputs'!L10=""),"",IF(OR(AND('TM-21 Inputs'!$I$19&gt;=5952,'TM-21 Inputs'!$I$19&lt;=10000,'TM-21 Inputs'!N10&gt;='TM-21 Inputs'!$I$19-5096),AND('TM-21 Inputs'!$I$19&gt;10000,OR('TM-21 Inputs'!N10&gt;=0.5*'TM-21 Inputs'!$I$19,'TM-21 Inputs'!N10=SMALL('TM-21 Inputs'!$N$10:$N$29,COUNTIF('TM-21 Inputs'!$N$10:$N$29,"&lt;"&amp;(0.5*'TM-21 Inputs'!$I$19)+1))))),'TM-21 Inputs'!N10,"")))</f>
        <v/>
      </c>
      <c r="F6" s="2" t="str">
        <f>IF(E6="","",'TM-21 Inputs'!O10)</f>
        <v/>
      </c>
      <c r="G6" s="10" t="str">
        <f>IF(E6="","",LN(F6))</f>
        <v/>
      </c>
      <c r="H6" s="13" t="str">
        <f>IF(E6="","",(G6*E6))</f>
        <v/>
      </c>
      <c r="I6" s="16" t="str">
        <f>IF(E6="","",E6^2)</f>
        <v/>
      </c>
      <c r="J6" s="17" t="str">
        <f>IF(E6="","",E6*G6)</f>
        <v/>
      </c>
    </row>
    <row r="7" spans="3:10" x14ac:dyDescent="0.25">
      <c r="C7" s="203" t="str">
        <f>"-"</f>
        <v>-</v>
      </c>
      <c r="D7" s="5" t="str">
        <f t="shared" ref="D7:D25" si="0">IF(OR(E6="",E7=""),"",E7-E6)</f>
        <v/>
      </c>
      <c r="E7" s="211" t="str">
        <f>IF(OR('TM-21 Inputs'!$I$19="",'TM-21 Inputs'!$I$21=""),"-",IF(OR('TM-21 Inputs'!N11="",'TM-21 Inputs'!L11=""),"",IF(OR(AND('TM-21 Inputs'!$I$19&gt;=5952,'TM-21 Inputs'!$I$19&lt;=10000,'TM-21 Inputs'!N11&gt;='TM-21 Inputs'!$I$19-5096),AND('TM-21 Inputs'!$I$19&gt;10000,OR('TM-21 Inputs'!N11&gt;=0.5*'TM-21 Inputs'!$I$19,'TM-21 Inputs'!N11=SMALL('TM-21 Inputs'!$N$10:$N$29,COUNTIF('TM-21 Inputs'!$N$10:$N$29,"&lt;"&amp;(0.5*'TM-21 Inputs'!$I$19)+1))))),'TM-21 Inputs'!N11,"")))</f>
        <v/>
      </c>
      <c r="F7" s="3" t="str">
        <f>IF(E7="","",'TM-21 Inputs'!O11)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211" t="str">
        <f>IF(OR('TM-21 Inputs'!$I$19="",'TM-21 Inputs'!$I$21=""),"-",IF(OR('TM-21 Inputs'!N12="",'TM-21 Inputs'!L12=""),"",IF(OR(AND('TM-21 Inputs'!$I$19&gt;=5952,'TM-21 Inputs'!$I$19&lt;=10000,'TM-21 Inputs'!N12&gt;='TM-21 Inputs'!$I$19-5096),AND('TM-21 Inputs'!$I$19&gt;10000,OR('TM-21 Inputs'!N12&gt;=0.5*'TM-21 Inputs'!$I$19,'TM-21 Inputs'!N12=SMALL('TM-21 Inputs'!$N$10:$N$29,COUNTIF('TM-21 Inputs'!$N$10:$N$29,"&lt;"&amp;(0.5*'TM-21 Inputs'!$I$19)+1))))),'TM-21 Inputs'!N12,"")))</f>
        <v/>
      </c>
      <c r="F8" s="3" t="str">
        <f>IF(E8="","",'TM-21 Inputs'!O12)</f>
        <v/>
      </c>
      <c r="G8" s="11" t="str">
        <f t="shared" si="1"/>
        <v/>
      </c>
      <c r="H8" s="14" t="str">
        <f t="shared" si="2"/>
        <v/>
      </c>
      <c r="I8" s="18" t="str">
        <f t="shared" si="3"/>
        <v/>
      </c>
      <c r="J8" s="19" t="str">
        <f t="shared" si="4"/>
        <v/>
      </c>
    </row>
    <row r="9" spans="3:10" x14ac:dyDescent="0.25">
      <c r="C9" s="5" t="str">
        <f t="shared" ref="C9:C25" si="5">IF(OR(D8="",D9=""),"",ABS(D9-D8))</f>
        <v/>
      </c>
      <c r="D9" s="5" t="str">
        <f t="shared" si="0"/>
        <v/>
      </c>
      <c r="E9" s="211" t="str">
        <f>IF(OR('TM-21 Inputs'!$I$19="",'TM-21 Inputs'!$I$21=""),"-",IF(OR('TM-21 Inputs'!N13="",'TM-21 Inputs'!L13=""),"",IF(OR(AND('TM-21 Inputs'!$I$19&gt;=5952,'TM-21 Inputs'!$I$19&lt;=10000,'TM-21 Inputs'!N13&gt;='TM-21 Inputs'!$I$19-5096),AND('TM-21 Inputs'!$I$19&gt;10000,OR('TM-21 Inputs'!N13&gt;=0.5*'TM-21 Inputs'!$I$19,'TM-21 Inputs'!N13=SMALL('TM-21 Inputs'!$N$10:$N$29,COUNTIF('TM-21 Inputs'!$N$10:$N$29,"&lt;"&amp;(0.5*'TM-21 Inputs'!$I$19)+1))))),'TM-21 Inputs'!N13,"")))</f>
        <v/>
      </c>
      <c r="F9" s="3" t="str">
        <f>IF(E9="","",'TM-21 Inputs'!O13)</f>
        <v/>
      </c>
      <c r="G9" s="11" t="str">
        <f t="shared" si="1"/>
        <v/>
      </c>
      <c r="H9" s="14" t="str">
        <f t="shared" si="2"/>
        <v/>
      </c>
      <c r="I9" s="18" t="str">
        <f t="shared" si="3"/>
        <v/>
      </c>
      <c r="J9" s="19" t="str">
        <f t="shared" si="4"/>
        <v/>
      </c>
    </row>
    <row r="10" spans="3:10" x14ac:dyDescent="0.25">
      <c r="C10" s="5" t="str">
        <f t="shared" si="5"/>
        <v/>
      </c>
      <c r="D10" s="5" t="str">
        <f t="shared" si="0"/>
        <v/>
      </c>
      <c r="E10" s="211" t="str">
        <f>IF(OR('TM-21 Inputs'!$I$19="",'TM-21 Inputs'!$I$21=""),"-",IF(OR('TM-21 Inputs'!N14="",'TM-21 Inputs'!L14=""),"",IF(OR(AND('TM-21 Inputs'!$I$19&gt;=5952,'TM-21 Inputs'!$I$19&lt;=10000,'TM-21 Inputs'!N14&gt;='TM-21 Inputs'!$I$19-5096),AND('TM-21 Inputs'!$I$19&gt;10000,OR('TM-21 Inputs'!N14&gt;=0.5*'TM-21 Inputs'!$I$19,'TM-21 Inputs'!N14=SMALL('TM-21 Inputs'!$N$10:$N$29,COUNTIF('TM-21 Inputs'!$N$10:$N$29,"&lt;"&amp;(0.5*'TM-21 Inputs'!$I$19)+1))))),'TM-21 Inputs'!N14,"")))</f>
        <v/>
      </c>
      <c r="F10" s="3" t="str">
        <f>IF(E10="","",'TM-21 Inputs'!O14)</f>
        <v/>
      </c>
      <c r="G10" s="11" t="str">
        <f t="shared" si="1"/>
        <v/>
      </c>
      <c r="H10" s="14" t="str">
        <f t="shared" si="2"/>
        <v/>
      </c>
      <c r="I10" s="18" t="str">
        <f t="shared" si="3"/>
        <v/>
      </c>
      <c r="J10" s="19" t="str">
        <f t="shared" si="4"/>
        <v/>
      </c>
    </row>
    <row r="11" spans="3:10" x14ac:dyDescent="0.25">
      <c r="C11" s="5" t="str">
        <f t="shared" si="5"/>
        <v/>
      </c>
      <c r="D11" s="5" t="str">
        <f t="shared" si="0"/>
        <v/>
      </c>
      <c r="E11" s="211" t="str">
        <f>IF(OR('TM-21 Inputs'!$I$19="",'TM-21 Inputs'!$I$21=""),"-",IF(OR('TM-21 Inputs'!N15="",'TM-21 Inputs'!L15=""),"",IF(OR(AND('TM-21 Inputs'!$I$19&gt;=5952,'TM-21 Inputs'!$I$19&lt;=10000,'TM-21 Inputs'!N15&gt;='TM-21 Inputs'!$I$19-5096),AND('TM-21 Inputs'!$I$19&gt;10000,OR('TM-21 Inputs'!N15&gt;=0.5*'TM-21 Inputs'!$I$19,'TM-21 Inputs'!N15=SMALL('TM-21 Inputs'!$N$10:$N$29,COUNTIF('TM-21 Inputs'!$N$10:$N$29,"&lt;"&amp;(0.5*'TM-21 Inputs'!$I$19)+1))))),'TM-21 Inputs'!N15,"")))</f>
        <v/>
      </c>
      <c r="F11" s="3" t="str">
        <f>IF(E11="","",'TM-21 Inputs'!O15)</f>
        <v/>
      </c>
      <c r="G11" s="11" t="str">
        <f t="shared" si="1"/>
        <v/>
      </c>
      <c r="H11" s="14" t="str">
        <f t="shared" si="2"/>
        <v/>
      </c>
      <c r="I11" s="18" t="str">
        <f t="shared" si="3"/>
        <v/>
      </c>
      <c r="J11" s="19" t="str">
        <f t="shared" si="4"/>
        <v/>
      </c>
    </row>
    <row r="12" spans="3:10" x14ac:dyDescent="0.25">
      <c r="C12" s="5" t="str">
        <f t="shared" si="5"/>
        <v/>
      </c>
      <c r="D12" s="5" t="str">
        <f t="shared" si="0"/>
        <v/>
      </c>
      <c r="E12" s="211" t="str">
        <f>IF(OR('TM-21 Inputs'!$I$19="",'TM-21 Inputs'!$I$21=""),"-",IF(OR('TM-21 Inputs'!N16="",'TM-21 Inputs'!L16=""),"",IF(OR(AND('TM-21 Inputs'!$I$19&gt;=5952,'TM-21 Inputs'!$I$19&lt;=10000,'TM-21 Inputs'!N16&gt;='TM-21 Inputs'!$I$19-5096),AND('TM-21 Inputs'!$I$19&gt;10000,OR('TM-21 Inputs'!N16&gt;=0.5*'TM-21 Inputs'!$I$19,'TM-21 Inputs'!N16=SMALL('TM-21 Inputs'!$N$10:$N$29,COUNTIF('TM-21 Inputs'!$N$10:$N$29,"&lt;"&amp;(0.5*'TM-21 Inputs'!$I$19)+1))))),'TM-21 Inputs'!N16,"")))</f>
        <v/>
      </c>
      <c r="F12" s="3" t="str">
        <f>IF(E12="","",'TM-21 Inputs'!O16)</f>
        <v/>
      </c>
      <c r="G12" s="11" t="str">
        <f t="shared" si="1"/>
        <v/>
      </c>
      <c r="H12" s="14" t="str">
        <f t="shared" si="2"/>
        <v/>
      </c>
      <c r="I12" s="18" t="str">
        <f t="shared" si="3"/>
        <v/>
      </c>
      <c r="J12" s="19" t="str">
        <f t="shared" si="4"/>
        <v/>
      </c>
    </row>
    <row r="13" spans="3:10" x14ac:dyDescent="0.25">
      <c r="C13" s="5" t="str">
        <f t="shared" si="5"/>
        <v/>
      </c>
      <c r="D13" s="5" t="str">
        <f t="shared" si="0"/>
        <v/>
      </c>
      <c r="E13" s="211">
        <f>IF(OR('TM-21 Inputs'!$I$19="",'TM-21 Inputs'!$I$21=""),"-",IF(OR('TM-21 Inputs'!N17="",'TM-21 Inputs'!L17=""),"",IF(OR(AND('TM-21 Inputs'!$I$19&gt;=5952,'TM-21 Inputs'!$I$19&lt;=10000,'TM-21 Inputs'!N17&gt;='TM-21 Inputs'!$I$19-5096),AND('TM-21 Inputs'!$I$19&gt;10000,OR('TM-21 Inputs'!N17&gt;=0.5*'TM-21 Inputs'!$I$19,'TM-21 Inputs'!N17=SMALL('TM-21 Inputs'!$N$10:$N$29,COUNTIF('TM-21 Inputs'!$N$10:$N$29,"&lt;"&amp;(0.5*'TM-21 Inputs'!$I$19)+1))))),'TM-21 Inputs'!N17,"")))</f>
        <v>8000</v>
      </c>
      <c r="F13" s="3">
        <f>IF(E13="","",'TM-21 Inputs'!O17)</f>
        <v>0.98839999999999995</v>
      </c>
      <c r="G13" s="11">
        <f t="shared" si="1"/>
        <v>-1.16678048676821E-2</v>
      </c>
      <c r="H13" s="14">
        <f t="shared" si="2"/>
        <v>-93.342438941456805</v>
      </c>
      <c r="I13" s="18">
        <f t="shared" si="3"/>
        <v>64000000</v>
      </c>
      <c r="J13" s="19">
        <f t="shared" si="4"/>
        <v>-93.342438941456805</v>
      </c>
    </row>
    <row r="14" spans="3:10" x14ac:dyDescent="0.25">
      <c r="C14" s="5" t="str">
        <f t="shared" si="5"/>
        <v/>
      </c>
      <c r="D14" s="5">
        <f t="shared" si="0"/>
        <v>1000</v>
      </c>
      <c r="E14" s="211">
        <f>IF(OR('TM-21 Inputs'!$I$19="",'TM-21 Inputs'!$I$21=""),"-",IF(OR('TM-21 Inputs'!N18="",'TM-21 Inputs'!L18=""),"",IF(OR(AND('TM-21 Inputs'!$I$19&gt;=5952,'TM-21 Inputs'!$I$19&lt;=10000,'TM-21 Inputs'!N18&gt;='TM-21 Inputs'!$I$19-5096),AND('TM-21 Inputs'!$I$19&gt;10000,OR('TM-21 Inputs'!N18&gt;=0.5*'TM-21 Inputs'!$I$19,'TM-21 Inputs'!N18=SMALL('TM-21 Inputs'!$N$10:$N$29,COUNTIF('TM-21 Inputs'!$N$10:$N$29,"&lt;"&amp;(0.5*'TM-21 Inputs'!$I$19)+1))))),'TM-21 Inputs'!N18,"")))</f>
        <v>9000</v>
      </c>
      <c r="F14" s="3">
        <f>IF(E14="","",'TM-21 Inputs'!O18)</f>
        <v>0.98699999999999999</v>
      </c>
      <c r="G14" s="11">
        <f t="shared" si="1"/>
        <v>-1.3085239548655481E-2</v>
      </c>
      <c r="H14" s="14">
        <f t="shared" si="2"/>
        <v>-117.76715593789933</v>
      </c>
      <c r="I14" s="18">
        <f t="shared" si="3"/>
        <v>81000000</v>
      </c>
      <c r="J14" s="19">
        <f t="shared" si="4"/>
        <v>-117.76715593789933</v>
      </c>
    </row>
    <row r="15" spans="3:10" x14ac:dyDescent="0.25">
      <c r="C15" s="5">
        <f t="shared" si="5"/>
        <v>0</v>
      </c>
      <c r="D15" s="5">
        <f t="shared" si="0"/>
        <v>1000</v>
      </c>
      <c r="E15" s="211">
        <f>IF(OR('TM-21 Inputs'!$I$19="",'TM-21 Inputs'!$I$21=""),"-",IF(OR('TM-21 Inputs'!N19="",'TM-21 Inputs'!L19=""),"",IF(OR(AND('TM-21 Inputs'!$I$19&gt;=5952,'TM-21 Inputs'!$I$19&lt;=10000,'TM-21 Inputs'!N19&gt;='TM-21 Inputs'!$I$19-5096),AND('TM-21 Inputs'!$I$19&gt;10000,OR('TM-21 Inputs'!N19&gt;=0.5*'TM-21 Inputs'!$I$19,'TM-21 Inputs'!N19=SMALL('TM-21 Inputs'!$N$10:$N$29,COUNTIF('TM-21 Inputs'!$N$10:$N$29,"&lt;"&amp;(0.5*'TM-21 Inputs'!$I$19)+1))))),'TM-21 Inputs'!N19,"")))</f>
        <v>10000</v>
      </c>
      <c r="F15" s="3">
        <f>IF(E15="","",'TM-21 Inputs'!O19)</f>
        <v>0.98560000000000003</v>
      </c>
      <c r="G15" s="11">
        <f t="shared" si="1"/>
        <v>-1.4504686202881688E-2</v>
      </c>
      <c r="H15" s="14">
        <f t="shared" si="2"/>
        <v>-145.04686202881689</v>
      </c>
      <c r="I15" s="18">
        <f t="shared" si="3"/>
        <v>100000000</v>
      </c>
      <c r="J15" s="19">
        <f t="shared" si="4"/>
        <v>-145.04686202881689</v>
      </c>
    </row>
    <row r="16" spans="3:10" x14ac:dyDescent="0.25">
      <c r="C16" s="5">
        <f t="shared" si="5"/>
        <v>0</v>
      </c>
      <c r="D16" s="5">
        <f t="shared" si="0"/>
        <v>1000</v>
      </c>
      <c r="E16" s="211">
        <f>IF(OR('TM-21 Inputs'!$I$19="",'TM-21 Inputs'!$I$21=""),"-",IF(OR('TM-21 Inputs'!N20="",'TM-21 Inputs'!L20=""),"",IF(OR(AND('TM-21 Inputs'!$I$19&gt;=5952,'TM-21 Inputs'!$I$19&lt;=10000,'TM-21 Inputs'!N20&gt;='TM-21 Inputs'!$I$19-5096),AND('TM-21 Inputs'!$I$19&gt;10000,OR('TM-21 Inputs'!N20&gt;=0.5*'TM-21 Inputs'!$I$19,'TM-21 Inputs'!N20=SMALL('TM-21 Inputs'!$N$10:$N$29,COUNTIF('TM-21 Inputs'!$N$10:$N$29,"&lt;"&amp;(0.5*'TM-21 Inputs'!$I$19)+1))))),'TM-21 Inputs'!N20,"")))</f>
        <v>11000</v>
      </c>
      <c r="F16" s="3">
        <f>IF(E16="","",'TM-21 Inputs'!O20)</f>
        <v>0.98470000000000002</v>
      </c>
      <c r="G16" s="11">
        <f t="shared" si="1"/>
        <v>-1.5418252728380644E-2</v>
      </c>
      <c r="H16" s="14">
        <f t="shared" si="2"/>
        <v>-169.6007800121871</v>
      </c>
      <c r="I16" s="18">
        <f t="shared" si="3"/>
        <v>121000000</v>
      </c>
      <c r="J16" s="19">
        <f t="shared" si="4"/>
        <v>-169.6007800121871</v>
      </c>
    </row>
    <row r="17" spans="3:10" x14ac:dyDescent="0.25">
      <c r="C17" s="5">
        <f t="shared" si="5"/>
        <v>0</v>
      </c>
      <c r="D17" s="5">
        <f t="shared" si="0"/>
        <v>1000</v>
      </c>
      <c r="E17" s="211">
        <f>IF(OR('TM-21 Inputs'!$I$19="",'TM-21 Inputs'!$I$21=""),"-",IF(OR('TM-21 Inputs'!N21="",'TM-21 Inputs'!L21=""),"",IF(OR(AND('TM-21 Inputs'!$I$19&gt;=5952,'TM-21 Inputs'!$I$19&lt;=10000,'TM-21 Inputs'!N21&gt;='TM-21 Inputs'!$I$19-5096),AND('TM-21 Inputs'!$I$19&gt;10000,OR('TM-21 Inputs'!N21&gt;=0.5*'TM-21 Inputs'!$I$19,'TM-21 Inputs'!N21=SMALL('TM-21 Inputs'!$N$10:$N$29,COUNTIF('TM-21 Inputs'!$N$10:$N$29,"&lt;"&amp;(0.5*'TM-21 Inputs'!$I$19)+1))))),'TM-21 Inputs'!N21,"")))</f>
        <v>12000</v>
      </c>
      <c r="F17" s="3">
        <f>IF(E17="","",'TM-21 Inputs'!O21)</f>
        <v>0.98380000000000001</v>
      </c>
      <c r="G17" s="11">
        <f t="shared" si="1"/>
        <v>-1.633265462089761E-2</v>
      </c>
      <c r="H17" s="14">
        <f t="shared" si="2"/>
        <v>-195.99185545077131</v>
      </c>
      <c r="I17" s="18">
        <f t="shared" si="3"/>
        <v>144000000</v>
      </c>
      <c r="J17" s="19">
        <f t="shared" si="4"/>
        <v>-195.99185545077131</v>
      </c>
    </row>
    <row r="18" spans="3:10" x14ac:dyDescent="0.25">
      <c r="C18" s="5">
        <f t="shared" si="5"/>
        <v>0</v>
      </c>
      <c r="D18" s="5">
        <f t="shared" si="0"/>
        <v>1000</v>
      </c>
      <c r="E18" s="211">
        <f>IF(OR('TM-21 Inputs'!$I$19="",'TM-21 Inputs'!$I$21=""),"-",IF(OR('TM-21 Inputs'!N22="",'TM-21 Inputs'!L22=""),"",IF(OR(AND('TM-21 Inputs'!$I$19&gt;=5952,'TM-21 Inputs'!$I$19&lt;=10000,'TM-21 Inputs'!N22&gt;='TM-21 Inputs'!$I$19-5096),AND('TM-21 Inputs'!$I$19&gt;10000,OR('TM-21 Inputs'!N22&gt;=0.5*'TM-21 Inputs'!$I$19,'TM-21 Inputs'!N22=SMALL('TM-21 Inputs'!$N$10:$N$29,COUNTIF('TM-21 Inputs'!$N$10:$N$29,"&lt;"&amp;(0.5*'TM-21 Inputs'!$I$19)+1))))),'TM-21 Inputs'!N22,"")))</f>
        <v>13000</v>
      </c>
      <c r="F18" s="3">
        <f>IF(E18="","",'TM-21 Inputs'!O22)</f>
        <v>0.9829</v>
      </c>
      <c r="G18" s="11">
        <f t="shared" si="1"/>
        <v>-1.7247893409553391E-2</v>
      </c>
      <c r="H18" s="14">
        <f t="shared" si="2"/>
        <v>-224.2226143241941</v>
      </c>
      <c r="I18" s="18">
        <f t="shared" si="3"/>
        <v>169000000</v>
      </c>
      <c r="J18" s="19">
        <f t="shared" si="4"/>
        <v>-224.2226143241941</v>
      </c>
    </row>
    <row r="19" spans="3:10" x14ac:dyDescent="0.25">
      <c r="C19" s="5">
        <f t="shared" si="5"/>
        <v>0</v>
      </c>
      <c r="D19" s="5">
        <f t="shared" si="0"/>
        <v>1000</v>
      </c>
      <c r="E19" s="211">
        <f>IF(OR('TM-21 Inputs'!$I$19="",'TM-21 Inputs'!$I$21=""),"-",IF(OR('TM-21 Inputs'!N23="",'TM-21 Inputs'!L23=""),"",IF(OR(AND('TM-21 Inputs'!$I$19&gt;=5952,'TM-21 Inputs'!$I$19&lt;=10000,'TM-21 Inputs'!N23&gt;='TM-21 Inputs'!$I$19-5096),AND('TM-21 Inputs'!$I$19&gt;10000,OR('TM-21 Inputs'!N23&gt;=0.5*'TM-21 Inputs'!$I$19,'TM-21 Inputs'!N23=SMALL('TM-21 Inputs'!$N$10:$N$29,COUNTIF('TM-21 Inputs'!$N$10:$N$29,"&lt;"&amp;(0.5*'TM-21 Inputs'!$I$19)+1))))),'TM-21 Inputs'!N23,"")))</f>
        <v>14000</v>
      </c>
      <c r="F19" s="3">
        <f>IF(E19="","",'TM-21 Inputs'!O23)</f>
        <v>0.98199999999999998</v>
      </c>
      <c r="G19" s="11">
        <f t="shared" si="1"/>
        <v>-1.816397062767118E-2</v>
      </c>
      <c r="H19" s="14">
        <f t="shared" si="2"/>
        <v>-254.29558878739653</v>
      </c>
      <c r="I19" s="18">
        <f t="shared" si="3"/>
        <v>196000000</v>
      </c>
      <c r="J19" s="19">
        <f t="shared" si="4"/>
        <v>-254.29558878739653</v>
      </c>
    </row>
    <row r="20" spans="3:10" x14ac:dyDescent="0.25">
      <c r="C20" s="5">
        <f t="shared" si="5"/>
        <v>0</v>
      </c>
      <c r="D20" s="5">
        <f t="shared" si="0"/>
        <v>1000</v>
      </c>
      <c r="E20" s="211">
        <f>IF(OR('TM-21 Inputs'!$I$19="",'TM-21 Inputs'!$I$21=""),"-",IF(OR('TM-21 Inputs'!N24="",'TM-21 Inputs'!L24=""),"",IF(OR(AND('TM-21 Inputs'!$I$19&gt;=5952,'TM-21 Inputs'!$I$19&lt;=10000,'TM-21 Inputs'!N24&gt;='TM-21 Inputs'!$I$19-5096),AND('TM-21 Inputs'!$I$19&gt;10000,OR('TM-21 Inputs'!N24&gt;=0.5*'TM-21 Inputs'!$I$19,'TM-21 Inputs'!N24=SMALL('TM-21 Inputs'!$N$10:$N$29,COUNTIF('TM-21 Inputs'!$N$10:$N$29,"&lt;"&amp;(0.5*'TM-21 Inputs'!$I$19)+1))))),'TM-21 Inputs'!N24,"")))</f>
        <v>15000</v>
      </c>
      <c r="F20" s="3">
        <f>IF(E20="","",'TM-21 Inputs'!O24)</f>
        <v>0.98119999999999996</v>
      </c>
      <c r="G20" s="11">
        <f t="shared" si="1"/>
        <v>-1.8978966597802856E-2</v>
      </c>
      <c r="H20" s="14">
        <f t="shared" si="2"/>
        <v>-284.68449896704283</v>
      </c>
      <c r="I20" s="18">
        <f t="shared" si="3"/>
        <v>225000000</v>
      </c>
      <c r="J20" s="19">
        <f t="shared" si="4"/>
        <v>-284.68449896704283</v>
      </c>
    </row>
    <row r="21" spans="3:10" x14ac:dyDescent="0.25">
      <c r="C21" s="5">
        <f t="shared" si="5"/>
        <v>0</v>
      </c>
      <c r="D21" s="5">
        <f t="shared" si="0"/>
        <v>1000</v>
      </c>
      <c r="E21" s="211">
        <f>IF(OR('TM-21 Inputs'!$I$19="",'TM-21 Inputs'!$I$21=""),"-",IF(OR('TM-21 Inputs'!N25="",'TM-21 Inputs'!L25=""),"",IF(OR(AND('TM-21 Inputs'!$I$19&gt;=5952,'TM-21 Inputs'!$I$19&lt;=10000,'TM-21 Inputs'!N25&gt;='TM-21 Inputs'!$I$19-5096),AND('TM-21 Inputs'!$I$19&gt;10000,OR('TM-21 Inputs'!N25&gt;=0.5*'TM-21 Inputs'!$I$19,'TM-21 Inputs'!N25=SMALL('TM-21 Inputs'!$N$10:$N$29,COUNTIF('TM-21 Inputs'!$N$10:$N$29,"&lt;"&amp;(0.5*'TM-21 Inputs'!$I$19)+1))))),'TM-21 Inputs'!N25,"")))</f>
        <v>16000</v>
      </c>
      <c r="F21" s="3">
        <f>IF(E21="","",'TM-21 Inputs'!O25)</f>
        <v>0.98060000000000003</v>
      </c>
      <c r="G21" s="11">
        <f t="shared" si="1"/>
        <v>-1.9590649765004148E-2</v>
      </c>
      <c r="H21" s="14">
        <f t="shared" si="2"/>
        <v>-313.45039624006637</v>
      </c>
      <c r="I21" s="18">
        <f t="shared" si="3"/>
        <v>256000000</v>
      </c>
      <c r="J21" s="19">
        <f t="shared" si="4"/>
        <v>-313.45039624006637</v>
      </c>
    </row>
    <row r="22" spans="3:10" x14ac:dyDescent="0.25">
      <c r="C22" s="5">
        <f t="shared" si="5"/>
        <v>0</v>
      </c>
      <c r="D22" s="5">
        <f t="shared" si="0"/>
        <v>1000</v>
      </c>
      <c r="E22" s="211">
        <f>IF(OR('TM-21 Inputs'!$I$19="",'TM-21 Inputs'!$I$21=""),"-",IF(OR('TM-21 Inputs'!N26="",'TM-21 Inputs'!L26=""),"",IF(OR(AND('TM-21 Inputs'!$I$19&gt;=5952,'TM-21 Inputs'!$I$19&lt;=10000,'TM-21 Inputs'!N26&gt;='TM-21 Inputs'!$I$19-5096),AND('TM-21 Inputs'!$I$19&gt;10000,OR('TM-21 Inputs'!N26&gt;=0.5*'TM-21 Inputs'!$I$19,'TM-21 Inputs'!N26=SMALL('TM-21 Inputs'!$N$10:$N$29,COUNTIF('TM-21 Inputs'!$N$10:$N$29,"&lt;"&amp;(0.5*'TM-21 Inputs'!$I$19)+1))))),'TM-21 Inputs'!N26,"")))</f>
        <v>17000</v>
      </c>
      <c r="F22" s="3">
        <f>IF(E22="","",'TM-21 Inputs'!O26)</f>
        <v>0.9798</v>
      </c>
      <c r="G22" s="11">
        <f t="shared" si="1"/>
        <v>-2.040680977766262E-2</v>
      </c>
      <c r="H22" s="14">
        <f t="shared" si="2"/>
        <v>-346.91576622026452</v>
      </c>
      <c r="I22" s="18">
        <f t="shared" si="3"/>
        <v>289000000</v>
      </c>
      <c r="J22" s="19">
        <f t="shared" si="4"/>
        <v>-346.91576622026452</v>
      </c>
    </row>
    <row r="23" spans="3:10" x14ac:dyDescent="0.25">
      <c r="C23" s="5" t="str">
        <f t="shared" si="5"/>
        <v/>
      </c>
      <c r="D23" s="5" t="str">
        <f t="shared" si="0"/>
        <v/>
      </c>
      <c r="E23" s="211" t="str">
        <f>IF(OR('TM-21 Inputs'!$I$19="",'TM-21 Inputs'!$I$21=""),"-",IF(OR('TM-21 Inputs'!N27="",'TM-21 Inputs'!L27=""),"",IF(OR(AND('TM-21 Inputs'!$I$19&gt;=5952,'TM-21 Inputs'!$I$19&lt;=10000,'TM-21 Inputs'!N27&gt;='TM-21 Inputs'!$I$19-5096),AND('TM-21 Inputs'!$I$19&gt;10000,OR('TM-21 Inputs'!N27&gt;=0.5*'TM-21 Inputs'!$I$19,'TM-21 Inputs'!N27=SMALL('TM-21 Inputs'!$N$10:$N$29,COUNTIF('TM-21 Inputs'!$N$10:$N$29,"&lt;"&amp;(0.5*'TM-21 Inputs'!$I$19)+1))))),'TM-21 Inputs'!N27,"")))</f>
        <v/>
      </c>
      <c r="F23" s="3" t="str">
        <f>IF(E23="","",'TM-21 Inputs'!O27)</f>
        <v/>
      </c>
      <c r="G23" s="11" t="str">
        <f t="shared" si="1"/>
        <v/>
      </c>
      <c r="H23" s="14" t="str">
        <f t="shared" si="2"/>
        <v/>
      </c>
      <c r="I23" s="18" t="str">
        <f t="shared" si="3"/>
        <v/>
      </c>
      <c r="J23" s="19" t="str">
        <f t="shared" si="4"/>
        <v/>
      </c>
    </row>
    <row r="24" spans="3:10" x14ac:dyDescent="0.25">
      <c r="C24" s="5" t="str">
        <f t="shared" si="5"/>
        <v/>
      </c>
      <c r="D24" s="5" t="str">
        <f t="shared" si="0"/>
        <v/>
      </c>
      <c r="E24" s="211" t="str">
        <f>IF(OR('TM-21 Inputs'!$I$19="",'TM-21 Inputs'!$I$21=""),"-",IF(OR('TM-21 Inputs'!N28="",'TM-21 Inputs'!L28=""),"",IF(OR(AND('TM-21 Inputs'!$I$19&gt;=5952,'TM-21 Inputs'!$I$19&lt;=10000,'TM-21 Inputs'!N28&gt;='TM-21 Inputs'!$I$19-5096),AND('TM-21 Inputs'!$I$19&gt;10000,OR('TM-21 Inputs'!N28&gt;=0.5*'TM-21 Inputs'!$I$19,'TM-21 Inputs'!N28=SMALL('TM-21 Inputs'!$N$10:$N$29,COUNTIF('TM-21 Inputs'!$N$10:$N$29,"&lt;"&amp;(0.5*'TM-21 Inputs'!$I$19)+1))))),'TM-21 Inputs'!N28,"")))</f>
        <v/>
      </c>
      <c r="F24" s="3" t="str">
        <f>IF(E24="","",'TM-21 Inputs'!O28)</f>
        <v/>
      </c>
      <c r="G24" s="11" t="str">
        <f t="shared" si="1"/>
        <v/>
      </c>
      <c r="H24" s="14" t="str">
        <f t="shared" si="2"/>
        <v/>
      </c>
      <c r="I24" s="18" t="str">
        <f t="shared" si="3"/>
        <v/>
      </c>
      <c r="J24" s="19" t="str">
        <f t="shared" si="4"/>
        <v/>
      </c>
    </row>
    <row r="25" spans="3:10" x14ac:dyDescent="0.25">
      <c r="C25" s="6" t="str">
        <f t="shared" si="5"/>
        <v/>
      </c>
      <c r="D25" s="6" t="str">
        <f t="shared" si="0"/>
        <v/>
      </c>
      <c r="E25" s="211" t="str">
        <f>IF(OR('TM-21 Inputs'!$I$19="",'TM-21 Inputs'!$I$21=""),"-",IF(OR('TM-21 Inputs'!N29="",'TM-21 Inputs'!L29=""),"",IF(OR(AND('TM-21 Inputs'!$I$19&gt;=5952,'TM-21 Inputs'!$I$19&lt;=10000,'TM-21 Inputs'!N29&gt;='TM-21 Inputs'!$I$19-5096),AND('TM-21 Inputs'!$I$19&gt;10000,OR('TM-21 Inputs'!N29&gt;=0.5*'TM-21 Inputs'!$I$19,'TM-21 Inputs'!N29=SMALL('TM-21 Inputs'!$N$10:$N$29,COUNTIF('TM-21 Inputs'!$N$10:$N$29,"&lt;"&amp;(0.5*'TM-21 Inputs'!$I$19)+1))))),'TM-21 Inputs'!N29,"")))</f>
        <v/>
      </c>
      <c r="F25" s="4" t="str">
        <f>IF(E25="","",'TM-21 Inputs'!O29)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F26" si="6">SUM(E6:E25)</f>
        <v>125000</v>
      </c>
      <c r="F26" s="24">
        <f t="shared" si="6"/>
        <v>9.8360000000000021</v>
      </c>
      <c r="G26" s="25">
        <f>SUM(G6:G25)</f>
        <v>-0.16539692814619175</v>
      </c>
      <c r="H26" s="26">
        <f>SUM(H6:H25)</f>
        <v>-2145.3179569100957</v>
      </c>
      <c r="I26" s="27">
        <f>SUM(I6:I25)</f>
        <v>1645000000</v>
      </c>
      <c r="J26" s="28">
        <f>SUM(J6:J25)</f>
        <v>-2145.3179569100957</v>
      </c>
    </row>
    <row r="27" spans="3:10" ht="15.75" thickBot="1" x14ac:dyDescent="0.3"/>
    <row r="28" spans="3:10" ht="15.75" x14ac:dyDescent="0.25">
      <c r="E28" s="293" t="s">
        <v>9</v>
      </c>
      <c r="F28" s="294"/>
    </row>
    <row r="29" spans="3:10" x14ac:dyDescent="0.25">
      <c r="E29" s="34" t="s">
        <v>15</v>
      </c>
      <c r="F29" s="35">
        <f>IF('TM-21 Inputs'!I22="","",((COUNTIF(E6:E25,"&gt;"&amp;0)*H26-(E26*G26))/((COUNTIF(E6:E25,"&gt;"&amp;0)*I26)-(E26^2))))</f>
        <v>-9.4371339494180349E-7</v>
      </c>
    </row>
    <row r="30" spans="3:10" x14ac:dyDescent="0.25">
      <c r="E30" s="36" t="s">
        <v>16</v>
      </c>
      <c r="F30" s="37">
        <f>IF('TM-21 Inputs'!I22="","",(G26-(F29*E26))/COUNTIF(E6:E25,"&gt;"&amp;0))</f>
        <v>-4.7432753778466315E-3</v>
      </c>
    </row>
    <row r="31" spans="3:10" x14ac:dyDescent="0.25">
      <c r="E31" s="38" t="s">
        <v>17</v>
      </c>
      <c r="F31" s="37">
        <f>IF('TM-21 Inputs'!I22="","",-F29)</f>
        <v>9.4371339494180349E-7</v>
      </c>
    </row>
    <row r="32" spans="3:10" x14ac:dyDescent="0.25">
      <c r="E32" s="36" t="s">
        <v>18</v>
      </c>
      <c r="F32" s="37">
        <f>IF('TM-21 Inputs'!I22="","",EXP(F30))</f>
        <v>0.99526795618765529</v>
      </c>
    </row>
    <row r="33" spans="5:6" ht="30" customHeight="1" x14ac:dyDescent="0.25">
      <c r="E33" s="39" t="str">
        <f>CONCATENATE("Calculated L",'TM-21 Inputs'!I35," (hrs):")</f>
        <v>Calculated L80 (hrs):</v>
      </c>
      <c r="F33" s="40">
        <f>IF('TM-21 Inputs'!I22="","",ROUND((LN(F32/('TM-21 Inputs'!$I$35/100))/F31),-3))</f>
        <v>231000</v>
      </c>
    </row>
    <row r="34" spans="5:6" ht="30.75" thickBot="1" x14ac:dyDescent="0.3">
      <c r="E34" s="41" t="str">
        <f>CONCATENATE("Reported L",'TM-21 Inputs'!I35," (hrs):")</f>
        <v>Reported L80 (hrs):</v>
      </c>
      <c r="F34" s="29" t="str">
        <f>IF('TM-21 Inputs'!I22="","",IF(OR(AND('TM-21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C000"/>
  </sheetPr>
  <dimension ref="C3:J34"/>
  <sheetViews>
    <sheetView workbookViewId="0">
      <selection activeCell="G29" sqref="G29"/>
    </sheetView>
  </sheetViews>
  <sheetFormatPr baseColWidth="10" defaultColWidth="9.140625" defaultRowHeight="15" x14ac:dyDescent="0.25"/>
  <cols>
    <col min="1" max="1" width="17" style="1" customWidth="1"/>
    <col min="2" max="3" width="9.140625" style="1"/>
    <col min="4" max="4" width="9.42578125" style="1" customWidth="1"/>
    <col min="5" max="5" width="12.85546875" style="1" bestFit="1" customWidth="1"/>
    <col min="6" max="6" width="17.85546875" style="1" customWidth="1"/>
    <col min="7" max="7" width="27.5703125" style="1" customWidth="1"/>
    <col min="8" max="8" width="12.5703125" style="1" bestFit="1" customWidth="1"/>
    <col min="9" max="9" width="11.140625" style="1" bestFit="1" customWidth="1"/>
    <col min="10" max="16384" width="9.140625" style="1"/>
  </cols>
  <sheetData>
    <row r="3" spans="3:10" ht="15.75" thickBot="1" x14ac:dyDescent="0.3"/>
    <row r="4" spans="3:10" ht="15" customHeight="1" x14ac:dyDescent="0.25">
      <c r="C4" s="293" t="str">
        <f>IF('TM-21 Inputs'!I23="","Insert Case Temperature 3",CONCATENATE("Test Data for ",'TM-21 Inputs'!I23,"⁰C Case Temperature"))</f>
        <v>Test Data for 105⁰C Case Temperature</v>
      </c>
      <c r="D4" s="295"/>
      <c r="E4" s="295"/>
      <c r="F4" s="295"/>
      <c r="G4" s="295"/>
      <c r="H4" s="295"/>
      <c r="I4" s="295"/>
      <c r="J4" s="294"/>
    </row>
    <row r="5" spans="3:10" ht="60" customHeight="1" x14ac:dyDescent="0.25">
      <c r="C5" s="204" t="s">
        <v>96</v>
      </c>
      <c r="D5" s="30" t="s">
        <v>95</v>
      </c>
      <c r="E5" s="31" t="s">
        <v>3</v>
      </c>
      <c r="F5" s="32" t="s">
        <v>4</v>
      </c>
      <c r="G5" s="32" t="s">
        <v>7</v>
      </c>
      <c r="H5" s="32" t="s">
        <v>5</v>
      </c>
      <c r="I5" s="32" t="s">
        <v>6</v>
      </c>
      <c r="J5" s="33" t="s">
        <v>1</v>
      </c>
    </row>
    <row r="6" spans="3:10" x14ac:dyDescent="0.25">
      <c r="C6" s="202" t="str">
        <f>"-"</f>
        <v>-</v>
      </c>
      <c r="D6" s="202" t="str">
        <f>"-"</f>
        <v>-</v>
      </c>
      <c r="E6" s="7" t="str">
        <f>IF(OR('TM-21 Inputs'!$I$19="",'TM-21 Inputs'!$I$21=""),"-",IF(OR('TM-21 Inputs'!Q10="",'TM-21 Inputs'!L10=""),"",IF(OR(AND('TM-21 Inputs'!$I$19&gt;=5952,'TM-21 Inputs'!$I$19&lt;=10000,'TM-21 Inputs'!Q10&gt;='TM-21 Inputs'!$I$19-5096),AND('TM-21 Inputs'!$I$19&gt;10000,OR('TM-21 Inputs'!Q10&gt;=0.5*'TM-21 Inputs'!$I$19,'TM-21 Inputs'!Q10=SMALL('TM-21 Inputs'!$Q$10:$Q$29,COUNTIF('TM-21 Inputs'!$Q$10:$Q$29,"&lt;"&amp;(0.5*'TM-21 Inputs'!$I$19)+1))))),'TM-21 Inputs'!Q10,"")))</f>
        <v/>
      </c>
      <c r="F6" s="2" t="str">
        <f>IF(E6="","",'TM-21 Inputs'!R10)</f>
        <v/>
      </c>
      <c r="G6" s="10" t="str">
        <f>IF(E6="","",LN(F6))</f>
        <v/>
      </c>
      <c r="H6" s="13" t="str">
        <f>IF(E6="","",(G6*E6))</f>
        <v/>
      </c>
      <c r="I6" s="16" t="str">
        <f>IF(E6="","",E6^2)</f>
        <v/>
      </c>
      <c r="J6" s="17" t="str">
        <f>IF(E6="","",E6*G6)</f>
        <v/>
      </c>
    </row>
    <row r="7" spans="3:10" x14ac:dyDescent="0.25">
      <c r="C7" s="203" t="str">
        <f>"-"</f>
        <v>-</v>
      </c>
      <c r="D7" s="5" t="str">
        <f t="shared" ref="D7:D25" si="0">IF(OR(E6="",E7=""),"",E7-E6)</f>
        <v/>
      </c>
      <c r="E7" s="8" t="str">
        <f>IF(OR('TM-21 Inputs'!$I$19="",'TM-21 Inputs'!$I$21=""),"-",IF(OR('TM-21 Inputs'!Q11="",'TM-21 Inputs'!L11=""),"",IF(OR(AND('TM-21 Inputs'!$I$19&gt;=5952,'TM-21 Inputs'!$I$19&lt;=10000,'TM-21 Inputs'!Q11&gt;='TM-21 Inputs'!$I$19-5096),AND('TM-21 Inputs'!$I$19&gt;10000,OR('TM-21 Inputs'!Q11&gt;=0.5*'TM-21 Inputs'!$I$19,'TM-21 Inputs'!Q11=SMALL('TM-21 Inputs'!$Q$10:$Q$29,COUNTIF('TM-21 Inputs'!$Q$10:$Q$29,"&lt;"&amp;(0.5*'TM-21 Inputs'!$I$19)+1))))),'TM-21 Inputs'!Q11,"")))</f>
        <v/>
      </c>
      <c r="F7" s="3" t="str">
        <f>IF(E7="","",'TM-21 Inputs'!R11)</f>
        <v/>
      </c>
      <c r="G7" s="11" t="str">
        <f t="shared" ref="G7:G25" si="1">IF(E7="","",LN(F7))</f>
        <v/>
      </c>
      <c r="H7" s="14" t="str">
        <f t="shared" ref="H7:H25" si="2">IF(E7="","",(G7*E7))</f>
        <v/>
      </c>
      <c r="I7" s="18" t="str">
        <f t="shared" ref="I7:I25" si="3">IF(E7="","",E7^2)</f>
        <v/>
      </c>
      <c r="J7" s="19" t="str">
        <f t="shared" ref="J7:J25" si="4">IF(E7="","",E7*G7)</f>
        <v/>
      </c>
    </row>
    <row r="8" spans="3:10" x14ac:dyDescent="0.25">
      <c r="C8" s="5" t="str">
        <f>IF(OR(D7="",D8=""),"",ABS(D8-D7))</f>
        <v/>
      </c>
      <c r="D8" s="5" t="str">
        <f t="shared" si="0"/>
        <v/>
      </c>
      <c r="E8" s="8" t="str">
        <f>IF(OR('TM-21 Inputs'!$I$19="",'TM-21 Inputs'!$I$21=""),"-",IF(OR('TM-21 Inputs'!Q12="",'TM-21 Inputs'!L12=""),"",IF(OR(AND('TM-21 Inputs'!$I$19&gt;=5952,'TM-21 Inputs'!$I$19&lt;=10000,'TM-21 Inputs'!Q12&gt;='TM-21 Inputs'!$I$19-5096),AND('TM-21 Inputs'!$I$19&gt;10000,OR('TM-21 Inputs'!Q12&gt;=0.5*'TM-21 Inputs'!$I$19,'TM-21 Inputs'!Q12=SMALL('TM-21 Inputs'!$Q$10:$Q$29,COUNTIF('TM-21 Inputs'!$Q$10:$Q$29,"&lt;"&amp;(0.5*'TM-21 Inputs'!$I$19)+1))))),'TM-21 Inputs'!Q12,"")))</f>
        <v/>
      </c>
      <c r="F8" s="3" t="str">
        <f>IF(E8="","",'TM-21 Inputs'!R12)</f>
        <v/>
      </c>
      <c r="G8" s="11" t="str">
        <f t="shared" si="1"/>
        <v/>
      </c>
      <c r="H8" s="14" t="str">
        <f t="shared" si="2"/>
        <v/>
      </c>
      <c r="I8" s="18" t="str">
        <f t="shared" si="3"/>
        <v/>
      </c>
      <c r="J8" s="19" t="str">
        <f t="shared" si="4"/>
        <v/>
      </c>
    </row>
    <row r="9" spans="3:10" x14ac:dyDescent="0.25">
      <c r="C9" s="5" t="str">
        <f t="shared" ref="C9:C25" si="5">IF(OR(D8="",D9=""),"",ABS(D9-D8))</f>
        <v/>
      </c>
      <c r="D9" s="5" t="str">
        <f t="shared" si="0"/>
        <v/>
      </c>
      <c r="E9" s="8" t="str">
        <f>IF(OR('TM-21 Inputs'!$I$19="",'TM-21 Inputs'!$I$21=""),"-",IF(OR('TM-21 Inputs'!Q13="",'TM-21 Inputs'!L13=""),"",IF(OR(AND('TM-21 Inputs'!$I$19&gt;=5952,'TM-21 Inputs'!$I$19&lt;=10000,'TM-21 Inputs'!Q13&gt;='TM-21 Inputs'!$I$19-5096),AND('TM-21 Inputs'!$I$19&gt;10000,OR('TM-21 Inputs'!Q13&gt;=0.5*'TM-21 Inputs'!$I$19,'TM-21 Inputs'!Q13=SMALL('TM-21 Inputs'!$Q$10:$Q$29,COUNTIF('TM-21 Inputs'!$Q$10:$Q$29,"&lt;"&amp;(0.5*'TM-21 Inputs'!$I$19)+1))))),'TM-21 Inputs'!Q13,"")))</f>
        <v/>
      </c>
      <c r="F9" s="3" t="str">
        <f>IF(E9="","",'TM-21 Inputs'!R13)</f>
        <v/>
      </c>
      <c r="G9" s="11" t="str">
        <f t="shared" si="1"/>
        <v/>
      </c>
      <c r="H9" s="14" t="str">
        <f t="shared" si="2"/>
        <v/>
      </c>
      <c r="I9" s="18" t="str">
        <f t="shared" si="3"/>
        <v/>
      </c>
      <c r="J9" s="19" t="str">
        <f t="shared" si="4"/>
        <v/>
      </c>
    </row>
    <row r="10" spans="3:10" x14ac:dyDescent="0.25">
      <c r="C10" s="5" t="str">
        <f t="shared" si="5"/>
        <v/>
      </c>
      <c r="D10" s="5" t="str">
        <f t="shared" si="0"/>
        <v/>
      </c>
      <c r="E10" s="8" t="str">
        <f>IF(OR('TM-21 Inputs'!$I$19="",'TM-21 Inputs'!$I$21=""),"-",IF(OR('TM-21 Inputs'!Q14="",'TM-21 Inputs'!L14=""),"",IF(OR(AND('TM-21 Inputs'!$I$19&gt;=5952,'TM-21 Inputs'!$I$19&lt;=10000,'TM-21 Inputs'!Q14&gt;='TM-21 Inputs'!$I$19-5096),AND('TM-21 Inputs'!$I$19&gt;10000,OR('TM-21 Inputs'!Q14&gt;=0.5*'TM-21 Inputs'!$I$19,'TM-21 Inputs'!Q14=SMALL('TM-21 Inputs'!$Q$10:$Q$29,COUNTIF('TM-21 Inputs'!$Q$10:$Q$29,"&lt;"&amp;(0.5*'TM-21 Inputs'!$I$19)+1))))),'TM-21 Inputs'!Q14,"")))</f>
        <v/>
      </c>
      <c r="F10" s="3" t="str">
        <f>IF(E10="","",'TM-21 Inputs'!R14)</f>
        <v/>
      </c>
      <c r="G10" s="11" t="str">
        <f t="shared" si="1"/>
        <v/>
      </c>
      <c r="H10" s="14" t="str">
        <f t="shared" si="2"/>
        <v/>
      </c>
      <c r="I10" s="18" t="str">
        <f t="shared" si="3"/>
        <v/>
      </c>
      <c r="J10" s="19" t="str">
        <f t="shared" si="4"/>
        <v/>
      </c>
    </row>
    <row r="11" spans="3:10" x14ac:dyDescent="0.25">
      <c r="C11" s="5" t="str">
        <f t="shared" si="5"/>
        <v/>
      </c>
      <c r="D11" s="5" t="str">
        <f t="shared" si="0"/>
        <v/>
      </c>
      <c r="E11" s="8" t="str">
        <f>IF(OR('TM-21 Inputs'!$I$19="",'TM-21 Inputs'!$I$21=""),"-",IF(OR('TM-21 Inputs'!Q15="",'TM-21 Inputs'!L15=""),"",IF(OR(AND('TM-21 Inputs'!$I$19&gt;=5952,'TM-21 Inputs'!$I$19&lt;=10000,'TM-21 Inputs'!Q15&gt;='TM-21 Inputs'!$I$19-5096),AND('TM-21 Inputs'!$I$19&gt;10000,OR('TM-21 Inputs'!Q15&gt;=0.5*'TM-21 Inputs'!$I$19,'TM-21 Inputs'!Q15=SMALL('TM-21 Inputs'!$Q$10:$Q$29,COUNTIF('TM-21 Inputs'!$Q$10:$Q$29,"&lt;"&amp;(0.5*'TM-21 Inputs'!$I$19)+1))))),'TM-21 Inputs'!Q15,"")))</f>
        <v/>
      </c>
      <c r="F11" s="3" t="str">
        <f>IF(E11="","",'TM-21 Inputs'!R15)</f>
        <v/>
      </c>
      <c r="G11" s="11" t="str">
        <f t="shared" si="1"/>
        <v/>
      </c>
      <c r="H11" s="14" t="str">
        <f t="shared" si="2"/>
        <v/>
      </c>
      <c r="I11" s="18" t="str">
        <f t="shared" si="3"/>
        <v/>
      </c>
      <c r="J11" s="19" t="str">
        <f t="shared" si="4"/>
        <v/>
      </c>
    </row>
    <row r="12" spans="3:10" x14ac:dyDescent="0.25">
      <c r="C12" s="5" t="str">
        <f t="shared" si="5"/>
        <v/>
      </c>
      <c r="D12" s="5" t="str">
        <f t="shared" si="0"/>
        <v/>
      </c>
      <c r="E12" s="8" t="str">
        <f>IF(OR('TM-21 Inputs'!$I$19="",'TM-21 Inputs'!$I$21=""),"-",IF(OR('TM-21 Inputs'!Q16="",'TM-21 Inputs'!L16=""),"",IF(OR(AND('TM-21 Inputs'!$I$19&gt;=5952,'TM-21 Inputs'!$I$19&lt;=10000,'TM-21 Inputs'!Q16&gt;='TM-21 Inputs'!$I$19-5096),AND('TM-21 Inputs'!$I$19&gt;10000,OR('TM-21 Inputs'!Q16&gt;=0.5*'TM-21 Inputs'!$I$19,'TM-21 Inputs'!Q16=SMALL('TM-21 Inputs'!$Q$10:$Q$29,COUNTIF('TM-21 Inputs'!$Q$10:$Q$29,"&lt;"&amp;(0.5*'TM-21 Inputs'!$I$19)+1))))),'TM-21 Inputs'!Q16,"")))</f>
        <v/>
      </c>
      <c r="F12" s="3" t="str">
        <f>IF(E12="","",'TM-21 Inputs'!R16)</f>
        <v/>
      </c>
      <c r="G12" s="11" t="str">
        <f t="shared" si="1"/>
        <v/>
      </c>
      <c r="H12" s="14" t="str">
        <f t="shared" si="2"/>
        <v/>
      </c>
      <c r="I12" s="18" t="str">
        <f t="shared" si="3"/>
        <v/>
      </c>
      <c r="J12" s="19" t="str">
        <f t="shared" si="4"/>
        <v/>
      </c>
    </row>
    <row r="13" spans="3:10" x14ac:dyDescent="0.25">
      <c r="C13" s="5" t="str">
        <f t="shared" si="5"/>
        <v/>
      </c>
      <c r="D13" s="5" t="str">
        <f t="shared" si="0"/>
        <v/>
      </c>
      <c r="E13" s="8">
        <f>IF(OR('TM-21 Inputs'!$I$19="",'TM-21 Inputs'!$I$21=""),"-",IF(OR('TM-21 Inputs'!Q17="",'TM-21 Inputs'!L17=""),"",IF(OR(AND('TM-21 Inputs'!$I$19&gt;=5952,'TM-21 Inputs'!$I$19&lt;=10000,'TM-21 Inputs'!Q17&gt;='TM-21 Inputs'!$I$19-5096),AND('TM-21 Inputs'!$I$19&gt;10000,OR('TM-21 Inputs'!Q17&gt;=0.5*'TM-21 Inputs'!$I$19,'TM-21 Inputs'!Q17=SMALL('TM-21 Inputs'!$Q$10:$Q$29,COUNTIF('TM-21 Inputs'!$Q$10:$Q$29,"&lt;"&amp;(0.5*'TM-21 Inputs'!$I$19)+1))))),'TM-21 Inputs'!Q17,"")))</f>
        <v>8000</v>
      </c>
      <c r="F13" s="3">
        <f>IF(E13="","",'TM-21 Inputs'!R17)</f>
        <v>0.9849</v>
      </c>
      <c r="G13" s="11">
        <f t="shared" si="1"/>
        <v>-1.5215165806480377E-2</v>
      </c>
      <c r="H13" s="14">
        <f t="shared" si="2"/>
        <v>-121.72132645184301</v>
      </c>
      <c r="I13" s="18">
        <f t="shared" si="3"/>
        <v>64000000</v>
      </c>
      <c r="J13" s="19">
        <f t="shared" si="4"/>
        <v>-121.72132645184301</v>
      </c>
    </row>
    <row r="14" spans="3:10" x14ac:dyDescent="0.25">
      <c r="C14" s="5" t="str">
        <f t="shared" si="5"/>
        <v/>
      </c>
      <c r="D14" s="5">
        <f t="shared" si="0"/>
        <v>1000</v>
      </c>
      <c r="E14" s="8">
        <f>IF(OR('TM-21 Inputs'!$I$19="",'TM-21 Inputs'!$I$21=""),"-",IF(OR('TM-21 Inputs'!Q18="",'TM-21 Inputs'!L18=""),"",IF(OR(AND('TM-21 Inputs'!$I$19&gt;=5952,'TM-21 Inputs'!$I$19&lt;=10000,'TM-21 Inputs'!Q18&gt;='TM-21 Inputs'!$I$19-5096),AND('TM-21 Inputs'!$I$19&gt;10000,OR('TM-21 Inputs'!Q18&gt;=0.5*'TM-21 Inputs'!$I$19,'TM-21 Inputs'!Q18=SMALL('TM-21 Inputs'!$Q$10:$Q$29,COUNTIF('TM-21 Inputs'!$Q$10:$Q$29,"&lt;"&amp;(0.5*'TM-21 Inputs'!$I$19)+1))))),'TM-21 Inputs'!Q18,"")))</f>
        <v>9000</v>
      </c>
      <c r="F14" s="3">
        <f>IF(E14="","",'TM-21 Inputs'!R18)</f>
        <v>0.98299999999999998</v>
      </c>
      <c r="G14" s="11">
        <f t="shared" si="1"/>
        <v>-1.7146158834970514E-2</v>
      </c>
      <c r="H14" s="14">
        <f t="shared" si="2"/>
        <v>-154.31542951473463</v>
      </c>
      <c r="I14" s="18">
        <f t="shared" si="3"/>
        <v>81000000</v>
      </c>
      <c r="J14" s="19">
        <f t="shared" si="4"/>
        <v>-154.31542951473463</v>
      </c>
    </row>
    <row r="15" spans="3:10" x14ac:dyDescent="0.25">
      <c r="C15" s="5">
        <f t="shared" si="5"/>
        <v>0</v>
      </c>
      <c r="D15" s="5">
        <f t="shared" si="0"/>
        <v>1000</v>
      </c>
      <c r="E15" s="8">
        <f>IF(OR('TM-21 Inputs'!$I$19="",'TM-21 Inputs'!$I$21=""),"-",IF(OR('TM-21 Inputs'!Q19="",'TM-21 Inputs'!L19=""),"",IF(OR(AND('TM-21 Inputs'!$I$19&gt;=5952,'TM-21 Inputs'!$I$19&lt;=10000,'TM-21 Inputs'!Q19&gt;='TM-21 Inputs'!$I$19-5096),AND('TM-21 Inputs'!$I$19&gt;10000,OR('TM-21 Inputs'!Q19&gt;=0.5*'TM-21 Inputs'!$I$19,'TM-21 Inputs'!Q19=SMALL('TM-21 Inputs'!$Q$10:$Q$29,COUNTIF('TM-21 Inputs'!$Q$10:$Q$29,"&lt;"&amp;(0.5*'TM-21 Inputs'!$I$19)+1))))),'TM-21 Inputs'!Q19,"")))</f>
        <v>10000</v>
      </c>
      <c r="F15" s="3">
        <f>IF(E15="","",'TM-21 Inputs'!R19)</f>
        <v>0.98099999999999998</v>
      </c>
      <c r="G15" s="11">
        <f t="shared" si="1"/>
        <v>-1.9182819416773987E-2</v>
      </c>
      <c r="H15" s="14">
        <f t="shared" si="2"/>
        <v>-191.82819416773987</v>
      </c>
      <c r="I15" s="18">
        <f t="shared" si="3"/>
        <v>100000000</v>
      </c>
      <c r="J15" s="19">
        <f t="shared" si="4"/>
        <v>-191.82819416773987</v>
      </c>
    </row>
    <row r="16" spans="3:10" x14ac:dyDescent="0.25">
      <c r="C16" s="5">
        <f t="shared" si="5"/>
        <v>0</v>
      </c>
      <c r="D16" s="5">
        <f t="shared" si="0"/>
        <v>1000</v>
      </c>
      <c r="E16" s="8">
        <f>IF(OR('TM-21 Inputs'!$I$19="",'TM-21 Inputs'!$I$21=""),"-",IF(OR('TM-21 Inputs'!Q20="",'TM-21 Inputs'!L20=""),"",IF(OR(AND('TM-21 Inputs'!$I$19&gt;=5952,'TM-21 Inputs'!$I$19&lt;=10000,'TM-21 Inputs'!Q20&gt;='TM-21 Inputs'!$I$19-5096),AND('TM-21 Inputs'!$I$19&gt;10000,OR('TM-21 Inputs'!Q20&gt;=0.5*'TM-21 Inputs'!$I$19,'TM-21 Inputs'!Q20=SMALL('TM-21 Inputs'!$Q$10:$Q$29,COUNTIF('TM-21 Inputs'!$Q$10:$Q$29,"&lt;"&amp;(0.5*'TM-21 Inputs'!$I$19)+1))))),'TM-21 Inputs'!Q20,"")))</f>
        <v>11000</v>
      </c>
      <c r="F16" s="3">
        <f>IF(E16="","",'TM-21 Inputs'!R20)</f>
        <v>0.97940000000000005</v>
      </c>
      <c r="G16" s="11">
        <f t="shared" si="1"/>
        <v>-2.0815139713920003E-2</v>
      </c>
      <c r="H16" s="14">
        <f t="shared" si="2"/>
        <v>-228.96653685312003</v>
      </c>
      <c r="I16" s="18">
        <f t="shared" si="3"/>
        <v>121000000</v>
      </c>
      <c r="J16" s="19">
        <f t="shared" si="4"/>
        <v>-228.96653685312003</v>
      </c>
    </row>
    <row r="17" spans="3:10" x14ac:dyDescent="0.25">
      <c r="C17" s="5">
        <f t="shared" si="5"/>
        <v>0</v>
      </c>
      <c r="D17" s="5">
        <f t="shared" si="0"/>
        <v>1000</v>
      </c>
      <c r="E17" s="8">
        <f>IF(OR('TM-21 Inputs'!$I$19="",'TM-21 Inputs'!$I$21=""),"-",IF(OR('TM-21 Inputs'!Q21="",'TM-21 Inputs'!L21=""),"",IF(OR(AND('TM-21 Inputs'!$I$19&gt;=5952,'TM-21 Inputs'!$I$19&lt;=10000,'TM-21 Inputs'!Q21&gt;='TM-21 Inputs'!$I$19-5096),AND('TM-21 Inputs'!$I$19&gt;10000,OR('TM-21 Inputs'!Q21&gt;=0.5*'TM-21 Inputs'!$I$19,'TM-21 Inputs'!Q21=SMALL('TM-21 Inputs'!$Q$10:$Q$29,COUNTIF('TM-21 Inputs'!$Q$10:$Q$29,"&lt;"&amp;(0.5*'TM-21 Inputs'!$I$19)+1))))),'TM-21 Inputs'!Q21,"")))</f>
        <v>12000</v>
      </c>
      <c r="F17" s="3">
        <f>IF(E17="","",'TM-21 Inputs'!R21)</f>
        <v>0.97760000000000002</v>
      </c>
      <c r="G17" s="11">
        <f t="shared" si="1"/>
        <v>-2.2654690564806151E-2</v>
      </c>
      <c r="H17" s="14">
        <f t="shared" si="2"/>
        <v>-271.8562867776738</v>
      </c>
      <c r="I17" s="18">
        <f t="shared" si="3"/>
        <v>144000000</v>
      </c>
      <c r="J17" s="19">
        <f t="shared" si="4"/>
        <v>-271.8562867776738</v>
      </c>
    </row>
    <row r="18" spans="3:10" x14ac:dyDescent="0.25">
      <c r="C18" s="5">
        <f t="shared" si="5"/>
        <v>0</v>
      </c>
      <c r="D18" s="5">
        <f t="shared" si="0"/>
        <v>1000</v>
      </c>
      <c r="E18" s="8">
        <f>IF(OR('TM-21 Inputs'!$I$19="",'TM-21 Inputs'!$I$21=""),"-",IF(OR('TM-21 Inputs'!Q22="",'TM-21 Inputs'!L22=""),"",IF(OR(AND('TM-21 Inputs'!$I$19&gt;=5952,'TM-21 Inputs'!$I$19&lt;=10000,'TM-21 Inputs'!Q22&gt;='TM-21 Inputs'!$I$19-5096),AND('TM-21 Inputs'!$I$19&gt;10000,OR('TM-21 Inputs'!Q22&gt;=0.5*'TM-21 Inputs'!$I$19,'TM-21 Inputs'!Q22=SMALL('TM-21 Inputs'!$Q$10:$Q$29,COUNTIF('TM-21 Inputs'!$Q$10:$Q$29,"&lt;"&amp;(0.5*'TM-21 Inputs'!$I$19)+1))))),'TM-21 Inputs'!Q22,"")))</f>
        <v>13000</v>
      </c>
      <c r="F18" s="3">
        <f>IF(E18="","",'TM-21 Inputs'!R22)</f>
        <v>0.97570000000000001</v>
      </c>
      <c r="G18" s="11">
        <f t="shared" si="1"/>
        <v>-2.4600116868232689E-2</v>
      </c>
      <c r="H18" s="14">
        <f t="shared" si="2"/>
        <v>-319.80151928702497</v>
      </c>
      <c r="I18" s="18">
        <f t="shared" si="3"/>
        <v>169000000</v>
      </c>
      <c r="J18" s="19">
        <f t="shared" si="4"/>
        <v>-319.80151928702497</v>
      </c>
    </row>
    <row r="19" spans="3:10" x14ac:dyDescent="0.25">
      <c r="C19" s="5">
        <f t="shared" si="5"/>
        <v>0</v>
      </c>
      <c r="D19" s="5">
        <f t="shared" si="0"/>
        <v>1000</v>
      </c>
      <c r="E19" s="8">
        <f>IF(OR('TM-21 Inputs'!$I$19="",'TM-21 Inputs'!$I$21=""),"-",IF(OR('TM-21 Inputs'!Q23="",'TM-21 Inputs'!L23=""),"",IF(OR(AND('TM-21 Inputs'!$I$19&gt;=5952,'TM-21 Inputs'!$I$19&lt;=10000,'TM-21 Inputs'!Q23&gt;='TM-21 Inputs'!$I$19-5096),AND('TM-21 Inputs'!$I$19&gt;10000,OR('TM-21 Inputs'!Q23&gt;=0.5*'TM-21 Inputs'!$I$19,'TM-21 Inputs'!Q23=SMALL('TM-21 Inputs'!$Q$10:$Q$29,COUNTIF('TM-21 Inputs'!$Q$10:$Q$29,"&lt;"&amp;(0.5*'TM-21 Inputs'!$I$19)+1))))),'TM-21 Inputs'!Q23,"")))</f>
        <v>14000</v>
      </c>
      <c r="F19" s="3">
        <f>IF(E19="","",'TM-21 Inputs'!R23)</f>
        <v>0.97389999999999999</v>
      </c>
      <c r="G19" s="11">
        <f t="shared" si="1"/>
        <v>-2.6446650014983503E-2</v>
      </c>
      <c r="H19" s="14">
        <f t="shared" si="2"/>
        <v>-370.25310020976906</v>
      </c>
      <c r="I19" s="18">
        <f t="shared" si="3"/>
        <v>196000000</v>
      </c>
      <c r="J19" s="19">
        <f t="shared" si="4"/>
        <v>-370.25310020976906</v>
      </c>
    </row>
    <row r="20" spans="3:10" x14ac:dyDescent="0.25">
      <c r="C20" s="5">
        <f t="shared" si="5"/>
        <v>0</v>
      </c>
      <c r="D20" s="5">
        <f t="shared" si="0"/>
        <v>1000</v>
      </c>
      <c r="E20" s="8">
        <f>IF(OR('TM-21 Inputs'!$I$19="",'TM-21 Inputs'!$I$21=""),"-",IF(OR('TM-21 Inputs'!Q24="",'TM-21 Inputs'!L24=""),"",IF(OR(AND('TM-21 Inputs'!$I$19&gt;=5952,'TM-21 Inputs'!$I$19&lt;=10000,'TM-21 Inputs'!Q24&gt;='TM-21 Inputs'!$I$19-5096),AND('TM-21 Inputs'!$I$19&gt;10000,OR('TM-21 Inputs'!Q24&gt;=0.5*'TM-21 Inputs'!$I$19,'TM-21 Inputs'!Q24=SMALL('TM-21 Inputs'!$Q$10:$Q$29,COUNTIF('TM-21 Inputs'!$Q$10:$Q$29,"&lt;"&amp;(0.5*'TM-21 Inputs'!$I$19)+1))))),'TM-21 Inputs'!Q24,"")))</f>
        <v>15000</v>
      </c>
      <c r="F20" s="3">
        <f>IF(E20="","",'TM-21 Inputs'!R24)</f>
        <v>0.97240000000000004</v>
      </c>
      <c r="G20" s="11">
        <f t="shared" si="1"/>
        <v>-2.7988036540168713E-2</v>
      </c>
      <c r="H20" s="14">
        <f t="shared" si="2"/>
        <v>-419.82054810253067</v>
      </c>
      <c r="I20" s="18">
        <f t="shared" si="3"/>
        <v>225000000</v>
      </c>
      <c r="J20" s="19">
        <f t="shared" si="4"/>
        <v>-419.82054810253067</v>
      </c>
    </row>
    <row r="21" spans="3:10" x14ac:dyDescent="0.25">
      <c r="C21" s="5">
        <f t="shared" si="5"/>
        <v>0</v>
      </c>
      <c r="D21" s="5">
        <f t="shared" si="0"/>
        <v>1000</v>
      </c>
      <c r="E21" s="8">
        <f>IF(OR('TM-21 Inputs'!$I$19="",'TM-21 Inputs'!$I$21=""),"-",IF(OR('TM-21 Inputs'!Q25="",'TM-21 Inputs'!L25=""),"",IF(OR(AND('TM-21 Inputs'!$I$19&gt;=5952,'TM-21 Inputs'!$I$19&lt;=10000,'TM-21 Inputs'!Q25&gt;='TM-21 Inputs'!$I$19-5096),AND('TM-21 Inputs'!$I$19&gt;10000,OR('TM-21 Inputs'!Q25&gt;=0.5*'TM-21 Inputs'!$I$19,'TM-21 Inputs'!Q25=SMALL('TM-21 Inputs'!$Q$10:$Q$29,COUNTIF('TM-21 Inputs'!$Q$10:$Q$29,"&lt;"&amp;(0.5*'TM-21 Inputs'!$I$19)+1))))),'TM-21 Inputs'!Q25,"")))</f>
        <v>16000</v>
      </c>
      <c r="F21" s="3">
        <f>IF(E21="","",'TM-21 Inputs'!R25)</f>
        <v>0.97099999999999997</v>
      </c>
      <c r="G21" s="11">
        <f t="shared" si="1"/>
        <v>-2.9428810690812168E-2</v>
      </c>
      <c r="H21" s="14">
        <f t="shared" si="2"/>
        <v>-470.86097105299467</v>
      </c>
      <c r="I21" s="18">
        <f t="shared" si="3"/>
        <v>256000000</v>
      </c>
      <c r="J21" s="19">
        <f t="shared" si="4"/>
        <v>-470.86097105299467</v>
      </c>
    </row>
    <row r="22" spans="3:10" x14ac:dyDescent="0.25">
      <c r="C22" s="5">
        <f t="shared" si="5"/>
        <v>0</v>
      </c>
      <c r="D22" s="5">
        <f t="shared" si="0"/>
        <v>1000</v>
      </c>
      <c r="E22" s="8">
        <f>IF(OR('TM-21 Inputs'!$I$19="",'TM-21 Inputs'!$I$21=""),"-",IF(OR('TM-21 Inputs'!Q26="",'TM-21 Inputs'!L26=""),"",IF(OR(AND('TM-21 Inputs'!$I$19&gt;=5952,'TM-21 Inputs'!$I$19&lt;=10000,'TM-21 Inputs'!Q26&gt;='TM-21 Inputs'!$I$19-5096),AND('TM-21 Inputs'!$I$19&gt;10000,OR('TM-21 Inputs'!Q26&gt;=0.5*'TM-21 Inputs'!$I$19,'TM-21 Inputs'!Q26=SMALL('TM-21 Inputs'!$Q$10:$Q$29,COUNTIF('TM-21 Inputs'!$Q$10:$Q$29,"&lt;"&amp;(0.5*'TM-21 Inputs'!$I$19)+1))))),'TM-21 Inputs'!Q26,"")))</f>
        <v>17000</v>
      </c>
      <c r="F22" s="3">
        <f>IF(E22="","",'TM-21 Inputs'!R26)</f>
        <v>0.96989999999999998</v>
      </c>
      <c r="G22" s="11">
        <f t="shared" si="1"/>
        <v>-3.0562305582639979E-2</v>
      </c>
      <c r="H22" s="14">
        <f t="shared" si="2"/>
        <v>-519.55919490487963</v>
      </c>
      <c r="I22" s="18">
        <f t="shared" si="3"/>
        <v>289000000</v>
      </c>
      <c r="J22" s="19">
        <f t="shared" si="4"/>
        <v>-519.55919490487963</v>
      </c>
    </row>
    <row r="23" spans="3:10" x14ac:dyDescent="0.25">
      <c r="C23" s="5" t="str">
        <f t="shared" si="5"/>
        <v/>
      </c>
      <c r="D23" s="5" t="str">
        <f t="shared" si="0"/>
        <v/>
      </c>
      <c r="E23" s="8" t="str">
        <f>IF(OR('TM-21 Inputs'!$I$19="",'TM-21 Inputs'!$I$21=""),"-",IF(OR('TM-21 Inputs'!Q27="",'TM-21 Inputs'!L27=""),"",IF(OR(AND('TM-21 Inputs'!$I$19&gt;=5952,'TM-21 Inputs'!$I$19&lt;=10000,'TM-21 Inputs'!Q27&gt;='TM-21 Inputs'!$I$19-5096),AND('TM-21 Inputs'!$I$19&gt;10000,OR('TM-21 Inputs'!Q27&gt;=0.5*'TM-21 Inputs'!$I$19,'TM-21 Inputs'!Q27=SMALL('TM-21 Inputs'!$Q$10:$Q$29,COUNTIF('TM-21 Inputs'!$Q$10:$Q$29,"&lt;"&amp;(0.5*'TM-21 Inputs'!$I$19)+1))))),'TM-21 Inputs'!Q27,"")))</f>
        <v/>
      </c>
      <c r="F23" s="3" t="str">
        <f>IF(E23="","",'TM-21 Inputs'!R27)</f>
        <v/>
      </c>
      <c r="G23" s="11" t="str">
        <f t="shared" si="1"/>
        <v/>
      </c>
      <c r="H23" s="14" t="str">
        <f t="shared" si="2"/>
        <v/>
      </c>
      <c r="I23" s="18" t="str">
        <f t="shared" si="3"/>
        <v/>
      </c>
      <c r="J23" s="19" t="str">
        <f t="shared" si="4"/>
        <v/>
      </c>
    </row>
    <row r="24" spans="3:10" x14ac:dyDescent="0.25">
      <c r="C24" s="5" t="str">
        <f t="shared" si="5"/>
        <v/>
      </c>
      <c r="D24" s="5" t="str">
        <f t="shared" si="0"/>
        <v/>
      </c>
      <c r="E24" s="8" t="str">
        <f>IF(OR('TM-21 Inputs'!$I$19="",'TM-21 Inputs'!$I$21=""),"-",IF(OR('TM-21 Inputs'!Q28="",'TM-21 Inputs'!L28=""),"",IF(OR(AND('TM-21 Inputs'!$I$19&gt;=5952,'TM-21 Inputs'!$I$19&lt;=10000,'TM-21 Inputs'!Q28&gt;='TM-21 Inputs'!$I$19-5096),AND('TM-21 Inputs'!$I$19&gt;10000,OR('TM-21 Inputs'!Q28&gt;=0.5*'TM-21 Inputs'!$I$19,'TM-21 Inputs'!Q28=SMALL('TM-21 Inputs'!$Q$10:$Q$29,COUNTIF('TM-21 Inputs'!$Q$10:$Q$29,"&lt;"&amp;(0.5*'TM-21 Inputs'!$I$19)+1))))),'TM-21 Inputs'!Q28,"")))</f>
        <v/>
      </c>
      <c r="F24" s="3" t="str">
        <f>IF(E24="","",'TM-21 Inputs'!R28)</f>
        <v/>
      </c>
      <c r="G24" s="11" t="str">
        <f t="shared" si="1"/>
        <v/>
      </c>
      <c r="H24" s="14" t="str">
        <f t="shared" si="2"/>
        <v/>
      </c>
      <c r="I24" s="18" t="str">
        <f t="shared" si="3"/>
        <v/>
      </c>
      <c r="J24" s="19" t="str">
        <f t="shared" si="4"/>
        <v/>
      </c>
    </row>
    <row r="25" spans="3:10" x14ac:dyDescent="0.25">
      <c r="C25" s="6" t="str">
        <f t="shared" si="5"/>
        <v/>
      </c>
      <c r="D25" s="6" t="str">
        <f t="shared" si="0"/>
        <v/>
      </c>
      <c r="E25" s="9" t="str">
        <f>IF(OR('TM-21 Inputs'!$I$19="",'TM-21 Inputs'!$I$21=""),"-",IF(OR('TM-21 Inputs'!Q29="",'TM-21 Inputs'!L29=""),"",IF(OR(AND('TM-21 Inputs'!$I$19&gt;=5952,'TM-21 Inputs'!$I$19&lt;=10000,'TM-21 Inputs'!Q29&gt;='TM-21 Inputs'!$I$19-5096),AND('TM-21 Inputs'!$I$19&gt;10000,OR('TM-21 Inputs'!Q29&gt;=0.5*'TM-21 Inputs'!$I$19,'TM-21 Inputs'!Q29=SMALL('TM-21 Inputs'!$Q$10:$Q$29,COUNTIF('TM-21 Inputs'!$Q$10:$Q$29,"&lt;"&amp;(0.5*'TM-21 Inputs'!$I$19)+1))))),'TM-21 Inputs'!Q29,"")))</f>
        <v/>
      </c>
      <c r="F25" s="4" t="str">
        <f>IF(E25="","",'TM-21 Inputs'!R29)</f>
        <v/>
      </c>
      <c r="G25" s="12" t="str">
        <f t="shared" si="1"/>
        <v/>
      </c>
      <c r="H25" s="15" t="str">
        <f t="shared" si="2"/>
        <v/>
      </c>
      <c r="I25" s="20" t="str">
        <f t="shared" si="3"/>
        <v/>
      </c>
      <c r="J25" s="21" t="str">
        <f t="shared" si="4"/>
        <v/>
      </c>
    </row>
    <row r="26" spans="3:10" ht="15.75" thickBot="1" x14ac:dyDescent="0.3">
      <c r="C26" s="205" t="str">
        <f>IF(COUNTIFS(C6:C25,"&gt;96")=0,"PASS","FAIL")</f>
        <v>PASS</v>
      </c>
      <c r="D26" s="22" t="s">
        <v>8</v>
      </c>
      <c r="E26" s="23">
        <f t="shared" ref="E26:J26" si="6">SUM(E6:E25)</f>
        <v>125000</v>
      </c>
      <c r="F26" s="24">
        <f t="shared" si="6"/>
        <v>9.7687999999999988</v>
      </c>
      <c r="G26" s="25">
        <f t="shared" si="6"/>
        <v>-0.23403989403378805</v>
      </c>
      <c r="H26" s="26">
        <f t="shared" si="6"/>
        <v>-3068.9831073223104</v>
      </c>
      <c r="I26" s="27">
        <f t="shared" si="6"/>
        <v>1645000000</v>
      </c>
      <c r="J26" s="28">
        <f t="shared" si="6"/>
        <v>-3068.9831073223104</v>
      </c>
    </row>
    <row r="27" spans="3:10" ht="15.75" thickBot="1" x14ac:dyDescent="0.3"/>
    <row r="28" spans="3:10" ht="15.75" x14ac:dyDescent="0.25">
      <c r="E28" s="293" t="s">
        <v>9</v>
      </c>
      <c r="F28" s="294"/>
    </row>
    <row r="29" spans="3:10" x14ac:dyDescent="0.25">
      <c r="E29" s="34" t="s">
        <v>15</v>
      </c>
      <c r="F29" s="35">
        <f>IF('TM-21 Inputs'!I23="","",((COUNTIF(E6:E25,"&gt;"&amp;0)*H26-(E26*G26))/((COUNTIF(E6:E25,"&gt;"&amp;0)*I26)-(E26^2))))</f>
        <v>-1.7392052351510254E-6</v>
      </c>
    </row>
    <row r="30" spans="3:10" x14ac:dyDescent="0.25">
      <c r="E30" s="36" t="s">
        <v>16</v>
      </c>
      <c r="F30" s="37">
        <f>IF('TM-21 Inputs'!I23="","",(G26-(F29*E26))/COUNTIF(E6:E25,"&gt;"&amp;0))</f>
        <v>-1.6639239639909876E-3</v>
      </c>
    </row>
    <row r="31" spans="3:10" x14ac:dyDescent="0.25">
      <c r="E31" s="38" t="s">
        <v>17</v>
      </c>
      <c r="F31" s="37">
        <f>IF('TM-21 Inputs'!I23="","",-F29)</f>
        <v>1.7392052351510254E-6</v>
      </c>
    </row>
    <row r="32" spans="3:10" x14ac:dyDescent="0.25">
      <c r="E32" s="36" t="s">
        <v>18</v>
      </c>
      <c r="F32" s="37">
        <f>IF('TM-21 Inputs'!I23="","",EXP(F30))</f>
        <v>0.99833745959000542</v>
      </c>
    </row>
    <row r="33" spans="5:6" ht="30" customHeight="1" x14ac:dyDescent="0.25">
      <c r="E33" s="39" t="str">
        <f>CONCATENATE("Calculated L",'TM-21 Inputs'!I35," (hrs):")</f>
        <v>Calculated L80 (hrs):</v>
      </c>
      <c r="F33" s="40">
        <f>IF('TM-21 Inputs'!I23="","",ROUND((LN(F32/('TM-21 Inputs'!$I$35/100))/F31),-3))</f>
        <v>127000</v>
      </c>
    </row>
    <row r="34" spans="5:6" ht="30" customHeight="1" thickBot="1" x14ac:dyDescent="0.3">
      <c r="E34" s="41" t="str">
        <f>CONCATENATE("Reported L",'TM-21 Inputs'!I35," (hrs):")</f>
        <v>Reported L80 (hrs):</v>
      </c>
      <c r="F34" s="29" t="str">
        <f>IF('TM-21 Inputs'!I23="","",IF(OR(AND('TM-21 Inputs'!$I$18&gt;=20,$F$33&lt;6*'TM-21 Inputs'!$I$19),AND('TM-21 Inputs'!$I$18&gt;=10,'TM-21 Inputs'!$I$18&lt;=19,$F$33&lt;5.5*'TM-21 Inputs'!$I$19)),ROUND(F33,-3),IF('TM-21 Inputs'!$I$18&gt;=20,CONCATENATE("&gt;",ROUND((6*'TM-21 Inputs'!$I$19),-3)),IF(AND('TM-21 Inputs'!$I$18&gt;=10,'TM-21 Inputs'!$I$18&lt;=19),CONCATENATE("&gt;",ROUND((5.5*'TM-21 Inputs'!$I$19),-3)),"error"))))</f>
        <v>&gt;102000</v>
      </c>
    </row>
  </sheetData>
  <mergeCells count="2">
    <mergeCell ref="E28:F28"/>
    <mergeCell ref="C4:J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3D02F617A24C48A2F08098488F1436" ma:contentTypeVersion="13" ma:contentTypeDescription="Crear nuevo documento." ma:contentTypeScope="" ma:versionID="98402e0ce76a55e3a669c06b1e8deed4">
  <xsd:schema xmlns:xsd="http://www.w3.org/2001/XMLSchema" xmlns:xs="http://www.w3.org/2001/XMLSchema" xmlns:p="http://schemas.microsoft.com/office/2006/metadata/properties" xmlns:ns3="6033514a-3e8d-4be3-88db-d8cbf0b7d427" targetNamespace="http://schemas.microsoft.com/office/2006/metadata/properties" ma:root="true" ma:fieldsID="5334eaa14ad4e422be8bd6af7cd40697" ns3:_="">
    <xsd:import namespace="6033514a-3e8d-4be3-88db-d8cbf0b7d42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514a-3e8d-4be3-88db-d8cbf0b7d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033514a-3e8d-4be3-88db-d8cbf0b7d4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FE962-A900-4480-BF76-5477F277F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514a-3e8d-4be3-88db-d8cbf0b7d4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94A22-6E4C-4B7B-A255-F121B14EC10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6033514a-3e8d-4be3-88db-d8cbf0b7d427"/>
    <ds:schemaRef ds:uri="http://www.w3.org/XML/1998/namespace"/>
    <ds:schemaRef ds:uri="http://purl.org/dc/terms/"/>
  </ds:schemaRefs>
</ds:datastoreItem>
</file>

<file path=customXml/itemProps3.xml><?xml version="1.0" encoding="utf-8"?>
<ds:datastoreItem xmlns:ds="http://schemas.openxmlformats.org/officeDocument/2006/customXml" ds:itemID="{FD698133-24D1-4BD9-A411-ACA918D96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rev. 02.08.16</vt:lpstr>
      <vt:lpstr>TM-21 Inputs</vt:lpstr>
      <vt:lpstr>Product Inputs</vt:lpstr>
      <vt:lpstr>TM-21 Projection</vt:lpstr>
      <vt:lpstr>TM-21 Report</vt:lpstr>
      <vt:lpstr>Hide when public ==&gt;</vt:lpstr>
      <vt:lpstr>Calculations - Case Temp 1</vt:lpstr>
      <vt:lpstr>Calculations - Case Temp 2</vt:lpstr>
      <vt:lpstr>Calculations - Case Temp 3</vt:lpstr>
      <vt:lpstr>'Product Inputs'!Área_de_impresión</vt:lpstr>
      <vt:lpstr>'rev. 02.08.16'!Área_de_impresión</vt:lpstr>
      <vt:lpstr>'TM-21 Inputs'!Área_de_impresión</vt:lpstr>
      <vt:lpstr>'TM-21 Projection'!Área_de_impresión</vt:lpstr>
      <vt:lpstr>'TM-21 Report'!Área_de_impresión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Lauf</dc:creator>
  <cp:lastModifiedBy>Wilson Eriot Giraldo Cardona</cp:lastModifiedBy>
  <cp:lastPrinted>2026-06-04T18:44:54Z</cp:lastPrinted>
  <dcterms:created xsi:type="dcterms:W3CDTF">2011-11-01T14:53:21Z</dcterms:created>
  <dcterms:modified xsi:type="dcterms:W3CDTF">2026-06-25T16:26:17Z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0x010100C03D02F617A24C48A2F08098488F1436</vt:lpwstr>
  </property>
</Properties>
</file>