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ervcali06\LicityProy\GUATEMALA\RALED II PLUS VIA TIPO M3\Informe Vída Útil LM80 y TM21\"/>
    </mc:Choice>
  </mc:AlternateContent>
  <xr:revisionPtr revIDLastSave="0" documentId="13_ncr:1_{22A64399-BE64-41D4-80A9-BFA15909C0EA}"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20370" yWindow="-120" windowWidth="15600" windowHeight="1116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Inputs'!$A$1:$M$19</definedName>
    <definedName name="_xlnm.Print_Area" localSheetId="0">'rev. 02.08.16'!$A$1:$C$4</definedName>
    <definedName name="_xlnm.Print_Area" localSheetId="1">'TM-21 Inputs'!$B$1:$T$45</definedName>
    <definedName name="_xlnm.Print_Area" localSheetId="3">'TM-21 Projection'!$J$1:$M$16</definedName>
    <definedName name="_xlnm.Print_Area" localSheetId="4">'TM-21 Report'!$B$1:$O$32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2" l="1"/>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<sst xmlns="http://schemas.openxmlformats.org/spreadsheetml/2006/main" count="169" uniqueCount="103">
  <si>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</si>
  <si>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</si>
  <si>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</si>
  <si>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</si>
  <si>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</si>
  <si>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</si>
  <si>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</si>
  <si>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</si>
  <si>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</si>
  <si>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</si>
  <si>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</si>
  <si>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</si>
  <si>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</si>
  <si>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</si>
  <si>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</si>
  <si>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</si>
  <si>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</si>
  <si>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</si>
  <si>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</si>
  <si>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</si>
  <si>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</si>
  <si>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</si>
  <si>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</si>
  <si>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</si>
  <si>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</si>
  <si>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</si>
  <si>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</si>
  <si>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</si>
  <si>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</si>
  <si>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</si>
  <si>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</si>
  <si>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</si>
  <si>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</si>
  <si>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</si>
  <si>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</si>
  <si>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</si>
  <si>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</si>
  <si>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</si>
  <si>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</si>
  <si>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</si>
  <si>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</si>
  <si>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</si>
  <si>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</si>
  <si>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</si>
  <si>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</si>
  <si>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</si>
  <si>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</si>
  <si>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</si>
  <si>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</si>
  <si>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</si>
  <si>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</si>
  <si>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</si>
  <si>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</si>
  <si>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</si>
  <si>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</si>
  <si>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</si>
  <si>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</si>
  <si>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</si>
  <si>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</si>
  <si>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</si>
  <si>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</si>
  <si>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</si>
  <si>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</si>
  <si>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</si>
  <si>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</si>
  <si>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</si>
  <si>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</si>
  <si>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</si>
  <si>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</si>
  <si>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</si>
  <si>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</si>
  <si>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</si>
  <si>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</si>
  <si>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</si>
  <si>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</si>
  <si>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</si>
  <si>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</si>
  <si>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</si>
  <si>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</si>
  <si>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</si>
  <si>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</si>
  <si>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</si>
  <si>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</si>
  <si>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</si>
  <si>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</si>
  <si>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</si>
  <si>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</si>
  <si>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</si>
  <si>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</si>
  <si>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</si>
  <si>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</si>
  <si>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</si>
  <si>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</si>
  <si>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</si>
  <si>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</si>
  <si>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</si>
  <si>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</si>
  <si>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</si>
  <si>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</si>
  <si>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</si>
  <si>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Date:2026/06/23</t>
  </si>
  <si>
    <t>RALED II PLUS 48 LED 145W (Se evalua en ta de 25°C)                                                                          UHE Y DA-UHE LM-80-15 OSCONIQ S 5050 GTG REPORT ANSI/IES LM-80-20 800mA 17000H Test Report.N01A240811172L00101, COD. LAB: 26-0340, Corriente Driver:949.6mA, Cada Modulo:949.6mA, Corriente LED:474.8mA</t>
  </si>
  <si>
    <t xml:space="preserve">Notes: Lumen maintenance is above 80% @100000 prediction (=90.81%)
B10 de acuerdo con la ficha técnica del módulo Fortimo Fast Flex 2x8 
DA-UHE (adjunta).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</si>
</sst>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12" fillId="2" borderId="7" xfId="0" applyFont="1" applyFill="1" applyBorder="1" applyAlignment="1" applyProtection="1">
      <alignment horizontal="left" vertical="top" wrapText="1"/>
      <protection locked="0"/>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zoomScale="90" zoomScaleNormal="90" workbookViewId="0">
      <selection activeCell="C4" sqref="A1:C4"/>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zoomScale="70" zoomScaleNormal="70" workbookViewId="0">
      <selection activeCell="H9" sqref="H9:I12"/>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16" t="s">
        <v>80</v>
      </c>
      <c r="C2" s="217"/>
      <c r="D2" s="217"/>
      <c r="E2" s="217"/>
      <c r="F2" s="217"/>
      <c r="G2" s="217"/>
      <c r="H2" s="217"/>
      <c r="I2" s="217"/>
      <c r="J2" s="217"/>
      <c r="K2" s="217"/>
      <c r="L2" s="217"/>
      <c r="M2" s="217"/>
      <c r="N2" s="217"/>
      <c r="O2" s="217"/>
      <c r="P2" s="217"/>
      <c r="Q2" s="217"/>
      <c r="R2" s="217"/>
      <c r="S2" s="217"/>
      <c r="T2" s="110"/>
    </row>
    <row r="3" spans="1:33" ht="14.25" customHeight="1" x14ac:dyDescent="0.2">
      <c r="A3" s="110"/>
      <c r="B3" s="217"/>
      <c r="C3" s="217"/>
      <c r="D3" s="217"/>
      <c r="E3" s="217"/>
      <c r="F3" s="217"/>
      <c r="G3" s="217"/>
      <c r="H3" s="217"/>
      <c r="I3" s="217"/>
      <c r="J3" s="217"/>
      <c r="K3" s="217"/>
      <c r="L3" s="217"/>
      <c r="M3" s="217"/>
      <c r="N3" s="217"/>
      <c r="O3" s="217"/>
      <c r="P3" s="217"/>
      <c r="Q3" s="217"/>
      <c r="R3" s="217"/>
      <c r="S3" s="217"/>
      <c r="T3" s="110"/>
    </row>
    <row r="4" spans="1:33" ht="14.25" customHeight="1" x14ac:dyDescent="0.2">
      <c r="A4" s="110"/>
      <c r="B4" s="217"/>
      <c r="C4" s="217"/>
      <c r="D4" s="217"/>
      <c r="E4" s="217"/>
      <c r="F4" s="217"/>
      <c r="G4" s="217"/>
      <c r="H4" s="217"/>
      <c r="I4" s="217"/>
      <c r="J4" s="217"/>
      <c r="K4" s="217"/>
      <c r="L4" s="217"/>
      <c r="M4" s="217"/>
      <c r="N4" s="217"/>
      <c r="O4" s="217"/>
      <c r="P4" s="217"/>
      <c r="Q4" s="217"/>
      <c r="R4" s="217"/>
      <c r="S4" s="217"/>
      <c r="T4" s="110"/>
    </row>
    <row r="5" spans="1:33" ht="24.75" customHeight="1" x14ac:dyDescent="0.2">
      <c r="A5" s="110"/>
      <c r="B5" s="217"/>
      <c r="C5" s="217"/>
      <c r="D5" s="217"/>
      <c r="E5" s="217"/>
      <c r="F5" s="217"/>
      <c r="G5" s="217"/>
      <c r="H5" s="217"/>
      <c r="I5" s="217"/>
      <c r="J5" s="217"/>
      <c r="K5" s="217"/>
      <c r="L5" s="217"/>
      <c r="M5" s="217"/>
      <c r="N5" s="217"/>
      <c r="O5" s="217"/>
      <c r="P5" s="217"/>
      <c r="Q5" s="217"/>
      <c r="R5" s="217"/>
      <c r="S5" s="217"/>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14" t="s">
        <v>45</v>
      </c>
      <c r="H7" s="215"/>
      <c r="I7" s="215"/>
      <c r="J7" s="215"/>
      <c r="K7" s="215"/>
      <c r="L7" s="215"/>
      <c r="M7" s="215"/>
      <c r="N7" s="215"/>
      <c r="O7" s="215"/>
      <c r="P7" s="215"/>
      <c r="Q7" s="215"/>
      <c r="R7" s="215"/>
      <c r="S7" s="215"/>
      <c r="T7" s="110"/>
    </row>
    <row r="8" spans="1:33" s="174" customFormat="1" ht="39" customHeight="1" thickBot="1" x14ac:dyDescent="0.35">
      <c r="A8" s="170"/>
      <c r="B8" s="171"/>
      <c r="C8" s="212" t="s">
        <v>56</v>
      </c>
      <c r="D8" s="213"/>
      <c r="E8" s="172"/>
      <c r="F8" s="173"/>
      <c r="G8" s="171"/>
      <c r="H8" s="224" t="s">
        <v>55</v>
      </c>
      <c r="I8" s="235"/>
      <c r="J8" s="171"/>
      <c r="K8" s="224" t="str">
        <f>IF(I21="","Tested Case Temperature 1",CONCATENATE("Test Data for ",I21,"⁰C Case Temperature"))</f>
        <v>Test Data for 55⁰C Case Temperature</v>
      </c>
      <c r="L8" s="225"/>
      <c r="M8" s="171"/>
      <c r="N8" s="224" t="str">
        <f>IF(I22="","Tested Case Temperature 2",CONCATENATE("Test Data for ",I22,"⁰C Case Temperature"))</f>
        <v>Test Data for 85⁰C Case Temperature</v>
      </c>
      <c r="O8" s="225"/>
      <c r="P8" s="171"/>
      <c r="Q8" s="224" t="str">
        <f>IF(I23="","Tested Case Temperature 3",CONCATENATE("Test Data for ",I23,"⁰C Case Temperature"))</f>
        <v>Test Data for 105⁰C Case Temperature</v>
      </c>
      <c r="R8" s="225"/>
      <c r="T8" s="170"/>
    </row>
    <row r="9" spans="1:33" ht="48" customHeight="1" thickBot="1" x14ac:dyDescent="0.3">
      <c r="A9" s="110"/>
      <c r="B9" s="175"/>
      <c r="C9" s="226" t="s">
        <v>94</v>
      </c>
      <c r="D9" s="227"/>
      <c r="E9" s="176"/>
      <c r="F9" s="109"/>
      <c r="G9" s="175"/>
      <c r="H9" s="218" t="s">
        <v>101</v>
      </c>
      <c r="I9" s="219"/>
      <c r="J9" s="175"/>
      <c r="K9" s="177" t="s">
        <v>82</v>
      </c>
      <c r="L9" s="177" t="s">
        <v>54</v>
      </c>
      <c r="M9" s="178"/>
      <c r="N9" s="177" t="s">
        <v>82</v>
      </c>
      <c r="O9" s="177" t="s">
        <v>54</v>
      </c>
      <c r="P9" s="178"/>
      <c r="Q9" s="177" t="s">
        <v>82</v>
      </c>
      <c r="R9" s="177" t="s">
        <v>54</v>
      </c>
      <c r="T9" s="110"/>
      <c r="AG9" s="179"/>
    </row>
    <row r="10" spans="1:33" ht="15" customHeight="1" x14ac:dyDescent="0.25">
      <c r="A10" s="110"/>
      <c r="B10" s="175"/>
      <c r="C10" s="228"/>
      <c r="D10" s="229"/>
      <c r="E10" s="176"/>
      <c r="F10" s="109"/>
      <c r="G10" s="175"/>
      <c r="H10" s="220"/>
      <c r="I10" s="221"/>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28"/>
      <c r="D11" s="229"/>
      <c r="E11" s="176"/>
      <c r="F11" s="109"/>
      <c r="G11" s="175"/>
      <c r="H11" s="220"/>
      <c r="I11" s="221"/>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28"/>
      <c r="D12" s="229"/>
      <c r="E12" s="176"/>
      <c r="F12" s="109"/>
      <c r="G12" s="175"/>
      <c r="H12" s="222"/>
      <c r="I12" s="223"/>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28"/>
      <c r="D13" s="229"/>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28"/>
      <c r="D14" s="229"/>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28"/>
      <c r="D15" s="229"/>
      <c r="E15" s="176"/>
      <c r="F15" s="109"/>
      <c r="G15" s="175"/>
      <c r="H15" s="212" t="s">
        <v>47</v>
      </c>
      <c r="I15" s="238"/>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28"/>
      <c r="D16" s="229"/>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28"/>
      <c r="D17" s="229"/>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28"/>
      <c r="D18" s="229"/>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28"/>
      <c r="D19" s="229"/>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28"/>
      <c r="D20" s="229"/>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28"/>
      <c r="D21" s="229"/>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28"/>
      <c r="D22" s="229"/>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28"/>
      <c r="D23" s="229"/>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28"/>
      <c r="D24" s="229"/>
      <c r="E24" s="176"/>
      <c r="F24" s="109"/>
      <c r="G24" s="175"/>
      <c r="H24" s="239" t="str">
        <f>IF(AND(I22&lt;&gt;"",I21=""),"Please enter value for 'Tested Case Temperature 1'",IF(AND(OR(I21="",I22=""),I23&lt;&gt;""),"Please enter values for 'Tested Case Temperature 1' and Tested Case Temperature 2'",""))</f>
        <v/>
      </c>
      <c r="I24" s="239"/>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28"/>
      <c r="D25" s="229"/>
      <c r="E25" s="176"/>
      <c r="F25" s="109"/>
      <c r="G25" s="175"/>
      <c r="H25" s="240"/>
      <c r="I25" s="240"/>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28"/>
      <c r="D26" s="229"/>
      <c r="E26" s="176"/>
      <c r="F26" s="109"/>
      <c r="G26" s="175"/>
      <c r="H26" s="240"/>
      <c r="I26" s="240"/>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28"/>
      <c r="D27" s="229"/>
      <c r="E27" s="176"/>
      <c r="F27" s="109"/>
      <c r="G27" s="175"/>
      <c r="J27" s="175"/>
      <c r="K27" s="76"/>
      <c r="L27" s="123"/>
      <c r="M27" s="171"/>
      <c r="N27" s="76"/>
      <c r="O27" s="123"/>
      <c r="P27" s="171"/>
      <c r="Q27" s="76"/>
      <c r="R27" s="123"/>
      <c r="T27" s="110"/>
    </row>
    <row r="28" spans="1:33" ht="18.75" customHeight="1" x14ac:dyDescent="0.25">
      <c r="A28" s="110"/>
      <c r="B28" s="175"/>
      <c r="C28" s="228"/>
      <c r="D28" s="229"/>
      <c r="E28" s="176"/>
      <c r="F28" s="109"/>
      <c r="G28" s="175"/>
      <c r="J28" s="183"/>
      <c r="K28" s="76"/>
      <c r="L28" s="123"/>
      <c r="M28" s="171"/>
      <c r="N28" s="76"/>
      <c r="O28" s="123"/>
      <c r="P28" s="171"/>
      <c r="Q28" s="76"/>
      <c r="R28" s="123"/>
      <c r="T28" s="110"/>
    </row>
    <row r="29" spans="1:33" ht="19.5" customHeight="1" thickBot="1" x14ac:dyDescent="0.25">
      <c r="A29" s="110"/>
      <c r="B29" s="183"/>
      <c r="C29" s="228"/>
      <c r="D29" s="229"/>
      <c r="E29" s="184"/>
      <c r="F29" s="185"/>
      <c r="G29" s="183"/>
      <c r="J29" s="183"/>
      <c r="K29" s="77"/>
      <c r="L29" s="125"/>
      <c r="M29" s="171"/>
      <c r="N29" s="77"/>
      <c r="O29" s="125"/>
      <c r="P29" s="171"/>
      <c r="Q29" s="77"/>
      <c r="R29" s="125"/>
      <c r="T29" s="110"/>
    </row>
    <row r="30" spans="1:33" ht="23.25" customHeight="1" x14ac:dyDescent="0.25">
      <c r="A30" s="110"/>
      <c r="B30" s="183"/>
      <c r="C30" s="228"/>
      <c r="D30" s="229"/>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28"/>
      <c r="D31" s="229"/>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28"/>
      <c r="D32" s="229"/>
      <c r="E32" s="184"/>
      <c r="F32" s="185"/>
      <c r="G32" s="183"/>
      <c r="H32" s="214" t="s">
        <v>89</v>
      </c>
      <c r="I32" s="241"/>
      <c r="K32" s="178"/>
      <c r="N32" s="178"/>
      <c r="O32" s="178"/>
      <c r="P32" s="164"/>
      <c r="Q32" s="178"/>
      <c r="R32" s="178"/>
    </row>
    <row r="33" spans="1:18" ht="37.5" customHeight="1" x14ac:dyDescent="0.25">
      <c r="A33" s="110"/>
      <c r="B33" s="184"/>
      <c r="C33" s="228"/>
      <c r="D33" s="229"/>
      <c r="E33" s="184"/>
      <c r="F33" s="185"/>
      <c r="H33" s="187" t="s">
        <v>91</v>
      </c>
      <c r="I33" s="75">
        <f>949.6/2</f>
        <v>474.8</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28"/>
      <c r="D34" s="229"/>
      <c r="E34" s="184"/>
      <c r="F34" s="185"/>
      <c r="H34" s="189" t="s">
        <v>92</v>
      </c>
      <c r="I34" s="76">
        <v>64.83</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28"/>
      <c r="D35" s="229"/>
      <c r="E35" s="184"/>
      <c r="F35" s="185"/>
      <c r="H35" s="193" t="s">
        <v>93</v>
      </c>
      <c r="I35" s="77">
        <v>80</v>
      </c>
      <c r="J35" s="194"/>
      <c r="K35" s="191"/>
      <c r="L35" s="191"/>
      <c r="M35" s="192"/>
      <c r="N35" s="178"/>
      <c r="O35" s="178"/>
      <c r="P35" s="110"/>
      <c r="Q35" s="178"/>
      <c r="R35" s="178"/>
    </row>
    <row r="36" spans="1:18" ht="11.25" customHeight="1" x14ac:dyDescent="0.25">
      <c r="A36" s="110"/>
      <c r="B36" s="184"/>
      <c r="C36" s="228"/>
      <c r="D36" s="229"/>
      <c r="E36" s="184"/>
      <c r="F36" s="185"/>
      <c r="H36" s="112"/>
      <c r="J36" s="195"/>
      <c r="K36" s="195"/>
      <c r="L36" s="196"/>
      <c r="M36" s="192"/>
      <c r="N36" s="178"/>
      <c r="O36" s="178"/>
      <c r="P36" s="110"/>
      <c r="Q36" s="178"/>
      <c r="R36" s="178"/>
    </row>
    <row r="37" spans="1:18" ht="11.25" customHeight="1" x14ac:dyDescent="0.25">
      <c r="A37" s="110"/>
      <c r="B37" s="197"/>
      <c r="C37" s="228"/>
      <c r="D37" s="229"/>
      <c r="E37" s="197"/>
      <c r="F37" s="185"/>
      <c r="G37" s="163"/>
      <c r="H37" s="198"/>
      <c r="I37" s="110"/>
      <c r="J37" s="163"/>
      <c r="K37" s="164"/>
      <c r="L37" s="164"/>
      <c r="M37" s="164"/>
      <c r="N37" s="164"/>
      <c r="O37" s="164"/>
      <c r="P37" s="164"/>
      <c r="Q37" s="178"/>
      <c r="R37" s="178"/>
    </row>
    <row r="38" spans="1:18" ht="23.25" customHeight="1" x14ac:dyDescent="0.25">
      <c r="A38" s="110"/>
      <c r="B38" s="197"/>
      <c r="C38" s="228"/>
      <c r="D38" s="229"/>
      <c r="E38" s="197"/>
      <c r="F38" s="185"/>
      <c r="H38" s="236" t="s">
        <v>9</v>
      </c>
      <c r="I38" s="237"/>
      <c r="K38" s="178"/>
      <c r="L38" s="178"/>
      <c r="N38" s="178"/>
      <c r="O38" s="178"/>
      <c r="P38" s="164"/>
      <c r="Q38" s="178"/>
      <c r="R38" s="178"/>
    </row>
    <row r="39" spans="1:18" ht="4.5" customHeight="1" thickBot="1" x14ac:dyDescent="0.25">
      <c r="A39" s="110"/>
      <c r="C39" s="228"/>
      <c r="D39" s="229"/>
      <c r="F39" s="185"/>
      <c r="H39" s="112"/>
      <c r="P39" s="162"/>
    </row>
    <row r="40" spans="1:18" ht="33.75" customHeight="1" x14ac:dyDescent="0.2">
      <c r="A40" s="110"/>
      <c r="C40" s="228"/>
      <c r="D40" s="229"/>
      <c r="F40" s="185"/>
      <c r="H40" s="187" t="s">
        <v>90</v>
      </c>
      <c r="I40" s="126">
        <v>100000</v>
      </c>
      <c r="J40" s="160"/>
      <c r="P40" s="162"/>
    </row>
    <row r="41" spans="1:18" ht="18.75" thickBot="1" x14ac:dyDescent="0.25">
      <c r="A41" s="110"/>
      <c r="C41" s="228"/>
      <c r="D41" s="229"/>
      <c r="F41" s="185"/>
      <c r="H41" s="193" t="s">
        <v>46</v>
      </c>
      <c r="I41" s="127">
        <f>IFERROR(IF(K30="",IF(I40="","",IF('TM-21 Inputs'!I34="","",'Product Inputs'!C14*EXP(-I40*'Product Inputs'!C16))),""),"")</f>
        <v>0.90813525374306703</v>
      </c>
      <c r="J41" s="234"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4"/>
      <c r="L41" s="234"/>
      <c r="M41" s="234"/>
      <c r="N41" s="234"/>
      <c r="O41" s="234"/>
      <c r="P41" s="162"/>
    </row>
    <row r="42" spans="1:18" ht="18.75" customHeight="1" thickBot="1" x14ac:dyDescent="0.3">
      <c r="A42" s="110"/>
      <c r="C42" s="230"/>
      <c r="D42" s="231"/>
      <c r="F42" s="185"/>
      <c r="H42" s="199" t="str">
        <f>IF(I35="","Reported LM (hours):",CONCATENATE("Reported L",'TM-21 Inputs'!I35," (hours):"))</f>
        <v>Reported L80 (hours):</v>
      </c>
      <c r="I42" s="207" t="str">
        <f>IFERROR(IF(K30="",IF('Product Inputs'!C18="error","",'Product Inputs'!C18),""),"")</f>
        <v>&gt;102000</v>
      </c>
      <c r="J42" s="234"/>
      <c r="K42" s="234"/>
      <c r="L42" s="234"/>
      <c r="M42" s="234"/>
      <c r="N42" s="234"/>
      <c r="O42" s="234"/>
      <c r="P42" s="162"/>
    </row>
    <row r="43" spans="1:18" ht="18.75" thickBot="1" x14ac:dyDescent="0.25">
      <c r="A43" s="110"/>
      <c r="C43" s="232"/>
      <c r="D43" s="233"/>
      <c r="F43" s="185"/>
      <c r="J43" s="234"/>
      <c r="K43" s="234"/>
      <c r="L43" s="234"/>
      <c r="M43" s="234"/>
      <c r="N43" s="234"/>
      <c r="O43" s="234"/>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B25" sqref="B25"/>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42" t="s">
        <v>57</v>
      </c>
      <c r="G4" s="243"/>
      <c r="H4" s="243"/>
      <c r="I4" s="243"/>
      <c r="J4" s="243"/>
      <c r="K4" s="243"/>
      <c r="L4" s="243"/>
      <c r="M4" s="244"/>
    </row>
    <row r="5" spans="2:13" ht="18.75" thickBot="1" x14ac:dyDescent="0.3">
      <c r="B5" s="64" t="s">
        <v>21</v>
      </c>
      <c r="C5" s="101">
        <f>IF(C3='Product Inputs'!G7,'Product Inputs'!G9,IF(C3='Product Inputs'!J7,'Product Inputs'!J9,IF(C3='Product Inputs'!M7,'Product Inputs'!M9)))</f>
        <v>0.99755310891785831</v>
      </c>
      <c r="F5" s="245" t="s">
        <v>12</v>
      </c>
      <c r="G5" s="246"/>
      <c r="H5" s="78"/>
      <c r="I5" s="247" t="s">
        <v>13</v>
      </c>
      <c r="J5" s="246"/>
      <c r="K5" s="78"/>
      <c r="L5" s="247" t="s">
        <v>14</v>
      </c>
      <c r="M5" s="248"/>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358.15</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f>IF(C6="N/A","N/A",IF(C6='Product Inputs'!G7,'Product Inputs'!G8,IF(C6='Product Inputs'!J7,'Product Inputs'!J8,IF(C6='Product Inputs'!M7,'Product Inputs'!M8))))</f>
        <v>9.4371339494180349E-7</v>
      </c>
      <c r="F7" s="84" t="s">
        <v>11</v>
      </c>
      <c r="G7" s="85">
        <f>IF(G6="","",G6+273.15)</f>
        <v>328.15</v>
      </c>
      <c r="H7" s="81"/>
      <c r="I7" s="86" t="s">
        <v>11</v>
      </c>
      <c r="J7" s="85">
        <f>IF(J6="","",J6+273.15)</f>
        <v>358.15</v>
      </c>
      <c r="K7" s="87"/>
      <c r="L7" s="86" t="s">
        <v>11</v>
      </c>
      <c r="M7" s="88">
        <f>IF(M6="","",M6+273.15)</f>
        <v>378.15</v>
      </c>
    </row>
    <row r="8" spans="2:13" ht="18.75" thickBot="1" x14ac:dyDescent="0.3">
      <c r="B8" s="64" t="s">
        <v>23</v>
      </c>
      <c r="C8" s="101">
        <f>IF(C6="N/A","N/A",IF(C6='Product Inputs'!G7,'Product Inputs'!G9,IF(C6='Product Inputs'!J7,'Product Inputs'!J9,IF(C6='Product Inputs'!M7,'Product Inputs'!M9))))</f>
        <v>0.99526795618765529</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f>IF(OR(C6="N/A",'TM-21 Inputs'!I34=""),"",IF(AND(C3&gt;0,C6&gt;0),(LN(C4)-LN(C7))/((1/C6)-(1/C3)),"error"))</f>
        <v>103.00746889575666</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f>IF(OR(C6="N/A",'TM-21 Inputs'!I34=""),"",C9*C11)</f>
        <v>8.8764626171540396E-3</v>
      </c>
    </row>
    <row r="13" spans="2:13" x14ac:dyDescent="0.25">
      <c r="B13" s="67" t="s">
        <v>2</v>
      </c>
      <c r="C13" s="100">
        <f>IF(OR(C6="N/A",'TM-21 Inputs'!I34=""),"",IF('TM-21 Inputs'!I34="","",C4*EXP(C12/(C11*C3))))</f>
        <v>1.2581936574055781E-6</v>
      </c>
    </row>
    <row r="14" spans="2:13" ht="18.75" thickBot="1" x14ac:dyDescent="0.3">
      <c r="B14" s="69" t="s">
        <v>26</v>
      </c>
      <c r="C14" s="101">
        <f>IF('TM-21 Inputs'!I34="","",IF(C6="N/A",C5,IF('TM-21 Inputs'!I34="","",SQRT(C5*C8))))</f>
        <v>0.99640987746073573</v>
      </c>
      <c r="I14" s="1" t="s">
        <v>58</v>
      </c>
    </row>
    <row r="15" spans="2:13" ht="18" x14ac:dyDescent="0.25">
      <c r="B15" s="61" t="s">
        <v>38</v>
      </c>
      <c r="C15" s="70">
        <f>IF('TM-21 Inputs'!I34="","",'TM-21 Inputs'!I34+273.15)</f>
        <v>337.97999999999996</v>
      </c>
    </row>
    <row r="16" spans="2:13" ht="18" x14ac:dyDescent="0.25">
      <c r="B16" s="63" t="s">
        <v>27</v>
      </c>
      <c r="C16" s="100">
        <f>IF('TM-21 Inputs'!I34="","",IF(C6="N/A",C4,C13*(EXP(-C9/C15))))</f>
        <v>9.276537111197345E-7</v>
      </c>
    </row>
    <row r="17" spans="2:3" hidden="1" x14ac:dyDescent="0.25">
      <c r="B17" s="67" t="str">
        <f>CONCATENATE("Calculated L",'TM-21 Inputs'!I35," (hrs):")</f>
        <v>Calculated L80 (hrs):</v>
      </c>
      <c r="C17" s="107">
        <f>IF('TM-21 Inputs'!I34="","",ROUND((LN(100*C14/'TM-21 Inputs'!I35)/C16),-3))</f>
        <v>237000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95"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6"/>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f>IFERROR('Product Inputs'!C6-273.15,"")</f>
        <v>85</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f>'Product Inputs'!C6</f>
        <v>358.15</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f>'Product Inputs'!C7</f>
        <v>9.4371339494180349E-7</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f>'Product Inputs'!C8</f>
        <v>0.99526795618765529</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f>'Product Inputs'!C9</f>
        <v>103.00746889575666</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f>'Product Inputs'!C13</f>
        <v>1.2581936574055781E-6</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0.99640987746073573</v>
      </c>
    </row>
    <row r="13" spans="2:12" ht="18" x14ac:dyDescent="0.35">
      <c r="K13" s="42" t="s">
        <v>32</v>
      </c>
      <c r="L13" s="58">
        <f>IF('Product Inputs'!C15="","",'Product Inputs'!C15-273.15)</f>
        <v>64.829999999999984</v>
      </c>
    </row>
    <row r="14" spans="2:12" ht="18" x14ac:dyDescent="0.35">
      <c r="K14" s="43" t="s">
        <v>33</v>
      </c>
      <c r="L14" s="48">
        <f>'Product Inputs'!C15</f>
        <v>337.97999999999996</v>
      </c>
    </row>
    <row r="15" spans="2:12" ht="18.75" thickBot="1" x14ac:dyDescent="0.4">
      <c r="K15" s="72" t="s">
        <v>27</v>
      </c>
      <c r="L15" s="103">
        <f>'Product Inputs'!C16</f>
        <v>9.276537111197345E-7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topLeftCell="C20" zoomScale="85" zoomScaleNormal="85" workbookViewId="0">
      <selection activeCell="J30" sqref="J30:M32"/>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57" t="s">
        <v>87</v>
      </c>
      <c r="C2" s="257"/>
      <c r="D2" s="257"/>
      <c r="E2" s="257"/>
      <c r="F2" s="257"/>
      <c r="G2" s="257"/>
      <c r="H2" s="257"/>
      <c r="I2" s="257"/>
      <c r="J2" s="257"/>
      <c r="K2" s="257"/>
      <c r="L2" s="257"/>
      <c r="M2" s="257"/>
      <c r="N2" s="257"/>
      <c r="O2" s="110"/>
    </row>
    <row r="3" spans="1:15" ht="15" customHeight="1" x14ac:dyDescent="0.25">
      <c r="A3" s="109"/>
      <c r="B3" s="257"/>
      <c r="C3" s="257"/>
      <c r="D3" s="257"/>
      <c r="E3" s="257"/>
      <c r="F3" s="257"/>
      <c r="G3" s="257"/>
      <c r="H3" s="257"/>
      <c r="I3" s="257"/>
      <c r="J3" s="257"/>
      <c r="K3" s="257"/>
      <c r="L3" s="257"/>
      <c r="M3" s="257"/>
      <c r="N3" s="257"/>
      <c r="O3" s="110"/>
    </row>
    <row r="4" spans="1:15" ht="15" customHeight="1" x14ac:dyDescent="0.25">
      <c r="A4" s="109"/>
      <c r="B4" s="257"/>
      <c r="C4" s="257"/>
      <c r="D4" s="257"/>
      <c r="E4" s="257"/>
      <c r="F4" s="257"/>
      <c r="G4" s="257"/>
      <c r="H4" s="257"/>
      <c r="I4" s="257"/>
      <c r="J4" s="257"/>
      <c r="K4" s="257"/>
      <c r="L4" s="257"/>
      <c r="M4" s="257"/>
      <c r="N4" s="257"/>
      <c r="O4" s="110"/>
    </row>
    <row r="5" spans="1:15" ht="12" customHeight="1" x14ac:dyDescent="0.25">
      <c r="A5" s="109"/>
      <c r="B5" s="257"/>
      <c r="C5" s="257"/>
      <c r="D5" s="257"/>
      <c r="E5" s="257"/>
      <c r="F5" s="257"/>
      <c r="G5" s="257"/>
      <c r="H5" s="257"/>
      <c r="I5" s="257"/>
      <c r="J5" s="257"/>
      <c r="K5" s="257"/>
      <c r="L5" s="257"/>
      <c r="M5" s="257"/>
      <c r="N5" s="257"/>
      <c r="O5" s="110"/>
    </row>
    <row r="6" spans="1:15" ht="8.25" customHeight="1" x14ac:dyDescent="0.25">
      <c r="A6" s="109"/>
      <c r="B6" s="257"/>
      <c r="C6" s="257"/>
      <c r="D6" s="257"/>
      <c r="E6" s="257"/>
      <c r="F6" s="257"/>
      <c r="G6" s="257"/>
      <c r="H6" s="257"/>
      <c r="I6" s="257"/>
      <c r="J6" s="257"/>
      <c r="K6" s="257"/>
      <c r="L6" s="257"/>
      <c r="M6" s="257"/>
      <c r="N6" s="257"/>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62" t="s">
        <v>57</v>
      </c>
      <c r="D9" s="263"/>
      <c r="E9" s="263"/>
      <c r="F9" s="263"/>
      <c r="G9" s="263"/>
      <c r="H9" s="263"/>
      <c r="I9" s="263"/>
      <c r="J9" s="264"/>
      <c r="K9" s="73"/>
      <c r="L9" s="258" t="s">
        <v>81</v>
      </c>
      <c r="M9" s="259"/>
      <c r="N9" s="73"/>
      <c r="O9" s="110"/>
    </row>
    <row r="10" spans="1:15" ht="15" customHeight="1" thickBot="1" x14ac:dyDescent="0.3">
      <c r="A10" s="109"/>
      <c r="B10" s="73"/>
      <c r="C10" s="267" t="s">
        <v>88</v>
      </c>
      <c r="D10" s="268"/>
      <c r="E10" s="269"/>
      <c r="F10" s="276" t="str">
        <f>IF('TM-21 Inputs'!H9="","",'TM-21 Inputs'!H9)</f>
        <v>RALED II PLUS 48 LED 145W (Se evalua en ta de 25°C)                                                                          UHE Y DA-UHE LM-80-15 OSCONIQ S 5050 GTG REPORT ANSI/IES LM-80-20 800mA 17000H Test Report.N01A240811172L00101, COD. LAB: 26-0340, Corriente Driver:949.6mA, Cada Modulo:949.6mA, Corriente LED:474.8mA</v>
      </c>
      <c r="G10" s="277"/>
      <c r="H10" s="277"/>
      <c r="I10" s="277"/>
      <c r="J10" s="278"/>
      <c r="K10" s="73"/>
      <c r="L10" s="260" t="s">
        <v>85</v>
      </c>
      <c r="M10" s="261"/>
      <c r="N10" s="73"/>
      <c r="O10" s="110"/>
    </row>
    <row r="11" spans="1:15" ht="18.75" x14ac:dyDescent="0.25">
      <c r="A11" s="109"/>
      <c r="B11" s="73"/>
      <c r="C11" s="270"/>
      <c r="D11" s="271"/>
      <c r="E11" s="272"/>
      <c r="F11" s="279"/>
      <c r="G11" s="280"/>
      <c r="H11" s="280"/>
      <c r="I11" s="280"/>
      <c r="J11" s="281"/>
      <c r="K11" s="73"/>
      <c r="L11" s="141" t="s">
        <v>67</v>
      </c>
      <c r="M11" s="149">
        <f>IF('TM-21 Projection'!L2="","-",'TM-21 Projection'!L2)</f>
        <v>55</v>
      </c>
      <c r="N11" s="73"/>
      <c r="O11" s="110"/>
    </row>
    <row r="12" spans="1:15" ht="28.5" customHeight="1" thickBot="1" x14ac:dyDescent="0.3">
      <c r="A12" s="109"/>
      <c r="B12" s="73"/>
      <c r="C12" s="273"/>
      <c r="D12" s="274"/>
      <c r="E12" s="275"/>
      <c r="F12" s="282"/>
      <c r="G12" s="283"/>
      <c r="H12" s="283"/>
      <c r="I12" s="283"/>
      <c r="J12" s="284"/>
      <c r="K12" s="73"/>
      <c r="L12" s="142" t="s">
        <v>68</v>
      </c>
      <c r="M12" s="150">
        <f>IF(OR('TM-21 Projection'!L3="",'TM-21 Projection'!L3="In situ case temp too high"),"-",'TM-21 Projection'!L3)</f>
        <v>328.15</v>
      </c>
      <c r="N12" s="73"/>
      <c r="O12" s="110"/>
    </row>
    <row r="13" spans="1:15" ht="19.5" thickBot="1" x14ac:dyDescent="0.3">
      <c r="A13" s="109"/>
      <c r="B13" s="73"/>
      <c r="C13" s="265" t="str">
        <f>IF('TM-21 Inputs'!I21="","",CONCATENATE("Test Condition 1 - ",'TM-21 Inputs'!I21,"⁰C Case Temp"))</f>
        <v>Test Condition 1 - 55⁰C Case Temp</v>
      </c>
      <c r="D13" s="266"/>
      <c r="E13" s="111"/>
      <c r="F13" s="265" t="str">
        <f>IF('TM-21 Inputs'!I22="","",CONCATENATE("Test Condition 2 - ",'TM-21 Inputs'!I22,"⁰C Case Temp"))</f>
        <v>Test Condition 2 - 85⁰C Case Temp</v>
      </c>
      <c r="G13" s="266"/>
      <c r="H13" s="111"/>
      <c r="I13" s="265" t="str">
        <f>IF('TM-21 Inputs'!I23="","",CONCATENATE("Test Condition 3 - ",'TM-21 Inputs'!I23,"⁰C Case Temp"))</f>
        <v>Test Condition 3 - 105⁰C Case Temp</v>
      </c>
      <c r="J13" s="266"/>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f>IF('TM-21 Projection'!L6="","-",'TM-21 Projection'!L6)</f>
        <v>85</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f>IF(OR('TM-21 Projection'!L7="",'TM-21 Projection'!L7="N/A"),"-",'TM-21 Projection'!L7)</f>
        <v>358.15</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f>IF(OR('TM-21 Projection'!L8="",'TM-21 Projection'!L8="N/A"),"-",'TM-21 Projection'!L8)</f>
        <v>9.4371339494180349E-7</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f>IF(OR('TM-21 Projection'!L9="",'TM-21 Projection'!L9="N/A"),"-",'TM-21 Projection'!L9)</f>
        <v>0.99526795618765529</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f>IF(OR(M13&lt;0,M17&lt;0),"-",IF('TM-21 Projection'!L10="","-",'TM-21 Projection'!L10))</f>
        <v>103.00746889575666</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f>IF(OR(M13&lt;0,M17&lt;0),"-",IF('TM-21 Projection'!L11="","-",'TM-21 Projection'!L11))</f>
        <v>1.2581936574055781E-6</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0.99640987746073573</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64.829999999999984</v>
      </c>
      <c r="N22" s="112"/>
      <c r="O22" s="110"/>
    </row>
    <row r="23" spans="1:15" s="116" customFormat="1" ht="18.75" x14ac:dyDescent="0.25">
      <c r="A23" s="109"/>
      <c r="B23" s="112"/>
      <c r="K23" s="112"/>
      <c r="L23" s="142" t="s">
        <v>78</v>
      </c>
      <c r="M23" s="157">
        <f>IF('TM-21 Projection'!L14="","-",'TM-21 Projection'!L14)</f>
        <v>337.97999999999996</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9.276537111197345E-7</v>
      </c>
      <c r="N24" s="112"/>
      <c r="O24" s="110"/>
    </row>
    <row r="25" spans="1:15" s="116" customFormat="1" ht="28.5" customHeight="1" thickBot="1" x14ac:dyDescent="0.3">
      <c r="A25" s="109"/>
      <c r="B25" s="112"/>
      <c r="C25" s="285" t="str">
        <f>IF(OR(M13&lt;0,M17&lt;0),"One or more of the tests resulted in negative L70 values. Please refer to sections 5.2.5 and 6.4 of IES TM-21-11 for instructions on how to estimate the reported lumen maintenance life (L70).","")</f>
        <v/>
      </c>
      <c r="D25" s="285"/>
      <c r="E25" s="285"/>
      <c r="F25" s="285"/>
      <c r="G25" s="285"/>
      <c r="H25" s="285"/>
      <c r="I25" s="285"/>
      <c r="J25" s="285"/>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64.83⁰C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86" t="s">
        <v>98</v>
      </c>
      <c r="G30" s="287"/>
      <c r="H30" s="288"/>
      <c r="I30" s="289"/>
      <c r="J30" s="295" t="s">
        <v>102</v>
      </c>
      <c r="K30" s="249"/>
      <c r="L30" s="249"/>
      <c r="M30" s="250"/>
    </row>
    <row r="31" spans="1:15" ht="31.5" customHeight="1" thickBot="1" x14ac:dyDescent="0.3">
      <c r="F31" s="286" t="s">
        <v>99</v>
      </c>
      <c r="G31" s="287"/>
      <c r="H31" s="288"/>
      <c r="I31" s="289"/>
      <c r="J31" s="251"/>
      <c r="K31" s="252"/>
      <c r="L31" s="252"/>
      <c r="M31" s="253"/>
    </row>
    <row r="32" spans="1:15" ht="15.75" thickBot="1" x14ac:dyDescent="0.3">
      <c r="F32" s="290" t="s">
        <v>100</v>
      </c>
      <c r="G32" s="291"/>
      <c r="H32" s="288"/>
      <c r="I32" s="289"/>
      <c r="J32" s="254"/>
      <c r="K32" s="255"/>
      <c r="L32" s="255"/>
      <c r="M32" s="256"/>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2" t="str">
        <f>IF('TM-21 Inputs'!I21="","Insert Case Temperature 1",CONCATENATE("Test Data for ",'TM-21 Inputs'!I21,"⁰C Case Temperature"))</f>
        <v>Test Data for 55⁰C Case Temperature</v>
      </c>
      <c r="D4" s="294"/>
      <c r="E4" s="294"/>
      <c r="F4" s="294"/>
      <c r="G4" s="294"/>
      <c r="H4" s="294"/>
      <c r="I4" s="294"/>
      <c r="J4" s="293"/>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2" t="s">
        <v>9</v>
      </c>
      <c r="F28" s="293"/>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Inputs'!I22="","Insert Case Temperature 2",CONCATENATE("Test Data for ",'TM-21 Inputs'!I22,"⁰C Case Temperature"))</f>
        <v>Test Data for 85⁰C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2" t="s">
        <v>9</v>
      </c>
      <c r="F28" s="293"/>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Inputs'!I23="","Insert Case Temperature 3",CONCATENATE("Test Data for ",'TM-21 Inputs'!I23,"⁰C Case Temperature"))</f>
        <v>Test Data for 105⁰C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2" t="s">
        <v>9</v>
      </c>
      <c r="F28" s="293"/>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Props1.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698133-24D1-4BD9-A411-ACA918D96B9F}">
  <ds:schemaRefs>
    <ds:schemaRef ds:uri="http://schemas.microsoft.com/sharepoint/v3/contenttype/forms"/>
  </ds:schemaRefs>
</ds:datastoreItem>
</file>

<file path=customXml/itemProps3.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Wilson Eriot Giraldo Cardona</cp:lastModifiedBy>
  <cp:lastPrinted>2026-06-23T18:18:12Z</cp:lastPrinted>
  <dcterms:created xsi:type="dcterms:W3CDTF">2011-11-01T14:53:21Z</dcterms:created>
  <dcterms:modified xsi:type="dcterms:W3CDTF">2026-06-25T16:33:30Z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